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codeName="ThisWorkbook" defaultThemeVersion="124226"/>
  <workbookProtection workbookPassword="FB84" lockStructure="1"/>
  <bookViews>
    <workbookView xWindow="1890" yWindow="-140" windowWidth="7710" windowHeight="7230" tabRatio="885"/>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A6-FinPos" sheetId="129" r:id="rId15"/>
    <sheet name="A7-CFlow" sheetId="131" r:id="rId16"/>
    <sheet name="A8-ResRecon" sheetId="237" r:id="rId17"/>
    <sheet name="A9-Asset" sheetId="248" r:id="rId18"/>
    <sheet name="A10-SerDel" sheetId="253" r:id="rId19"/>
    <sheet name="SA1" sheetId="255" r:id="rId20"/>
    <sheet name="SA2" sheetId="246" r:id="rId21"/>
    <sheet name="SA3" sheetId="128" r:id="rId22"/>
    <sheet name="SA4" sheetId="141" r:id="rId23"/>
    <sheet name="SA5" sheetId="315" r:id="rId24"/>
    <sheet name="SA6" sheetId="314" r:id="rId25"/>
    <sheet name="SA7" sheetId="147" r:id="rId26"/>
    <sheet name="SA8" sheetId="88" r:id="rId27"/>
    <sheet name="SA9" sheetId="235" r:id="rId28"/>
    <sheet name="SA10" sheetId="123" r:id="rId29"/>
    <sheet name="SA11" sheetId="336" r:id="rId30"/>
    <sheet name="SA12a" sheetId="335" r:id="rId31"/>
    <sheet name="SA12b" sheetId="360" r:id="rId32"/>
    <sheet name="SA13a" sheetId="361" r:id="rId33"/>
    <sheet name="SA13b" sheetId="362" r:id="rId34"/>
    <sheet name="SA14" sheetId="337" r:id="rId35"/>
    <sheet name="SA15" sheetId="142" r:id="rId36"/>
    <sheet name="SA16" sheetId="143" r:id="rId37"/>
    <sheet name="SA17" sheetId="144" r:id="rId38"/>
    <sheet name="SA18" sheetId="136" r:id="rId39"/>
    <sheet name="SA19" sheetId="249" r:id="rId40"/>
    <sheet name="SA20" sheetId="316" r:id="rId41"/>
    <sheet name="SA21" sheetId="305" r:id="rId42"/>
    <sheet name="SA22" sheetId="146" r:id="rId43"/>
    <sheet name="SA23" sheetId="145" r:id="rId44"/>
    <sheet name="SA24" sheetId="148" r:id="rId45"/>
    <sheet name="SA25" sheetId="137" r:id="rId46"/>
    <sheet name="SA26" sheetId="299" r:id="rId47"/>
    <sheet name="SA27" sheetId="298" r:id="rId48"/>
    <sheet name="SA28" sheetId="140" r:id="rId49"/>
    <sheet name="SA29" sheetId="300" r:id="rId50"/>
    <sheet name="SA30" sheetId="95" r:id="rId51"/>
    <sheet name="SA31" sheetId="301" r:id="rId52"/>
    <sheet name="SA32" sheetId="250" r:id="rId53"/>
    <sheet name="SA33" sheetId="139" r:id="rId54"/>
    <sheet name="SA34a" sheetId="134" r:id="rId55"/>
    <sheet name="SA34b" sheetId="350" r:id="rId56"/>
    <sheet name="SA34c" sheetId="349" r:id="rId57"/>
    <sheet name="SA34d" sheetId="358" r:id="rId58"/>
    <sheet name="SA35" sheetId="294" r:id="rId59"/>
    <sheet name="SA36" sheetId="256" r:id="rId60"/>
    <sheet name="SA37" sheetId="296" r:id="rId61"/>
    <sheet name="NERF" sheetId="338" state="hidden" r:id="rId62"/>
    <sheet name="MSCOA" sheetId="339" state="hidden" r:id="rId63"/>
    <sheet name="Compliance assessment" sheetId="348" state="hidden" r:id="rId64"/>
  </sheets>
  <externalReferences>
    <externalReference r:id="rId65"/>
    <externalReference r:id="rId66"/>
    <externalReference r:id="rId67"/>
    <externalReference r:id="rId68"/>
    <externalReference r:id="rId69"/>
    <externalReference r:id="rId70"/>
  </externalReferences>
  <definedNames>
    <definedName name="_ADJ1" localSheetId="31">'Template names'!#REF!</definedName>
    <definedName name="_ADJ1" localSheetId="32">'Template names'!#REF!</definedName>
    <definedName name="_ADJ1" localSheetId="33">'Template names'!#REF!</definedName>
    <definedName name="_ADJ1" localSheetId="57">'Template names'!#REF!</definedName>
    <definedName name="_ADJ1">'Template names'!#REF!</definedName>
    <definedName name="_ADJ10" localSheetId="31">'Template names'!#REF!</definedName>
    <definedName name="_ADJ10" localSheetId="32">'Template names'!#REF!</definedName>
    <definedName name="_ADJ10" localSheetId="33">'Template names'!#REF!</definedName>
    <definedName name="_ADJ10" localSheetId="57">'Template names'!#REF!</definedName>
    <definedName name="_ADJ10">'Template names'!#REF!</definedName>
    <definedName name="_ADJ11" localSheetId="31">'Template names'!#REF!</definedName>
    <definedName name="_ADJ11" localSheetId="32">'Template names'!#REF!</definedName>
    <definedName name="_ADJ11" localSheetId="33">'Template names'!#REF!</definedName>
    <definedName name="_ADJ11" localSheetId="57">'Template names'!#REF!</definedName>
    <definedName name="_ADJ11">'Template names'!#REF!</definedName>
    <definedName name="_ADJ12" localSheetId="31">'Template names'!#REF!</definedName>
    <definedName name="_ADJ12" localSheetId="32">'Template names'!#REF!</definedName>
    <definedName name="_ADJ12" localSheetId="33">'Template names'!#REF!</definedName>
    <definedName name="_ADJ12" localSheetId="57">'Template names'!#REF!</definedName>
    <definedName name="_ADJ12">'Template names'!#REF!</definedName>
    <definedName name="_ADJ13" localSheetId="31">'Template names'!#REF!</definedName>
    <definedName name="_ADJ13" localSheetId="32">'Template names'!#REF!</definedName>
    <definedName name="_ADJ13" localSheetId="33">'Template names'!#REF!</definedName>
    <definedName name="_ADJ13" localSheetId="57">'Template names'!#REF!</definedName>
    <definedName name="_ADJ13">'Template names'!#REF!</definedName>
    <definedName name="_ADJ14" localSheetId="31">'Template names'!#REF!</definedName>
    <definedName name="_ADJ14" localSheetId="32">'Template names'!#REF!</definedName>
    <definedName name="_ADJ14" localSheetId="33">'Template names'!#REF!</definedName>
    <definedName name="_ADJ14" localSheetId="57">'Template names'!#REF!</definedName>
    <definedName name="_ADJ14">'Template names'!#REF!</definedName>
    <definedName name="_ADJ16" localSheetId="31">'Template names'!#REF!</definedName>
    <definedName name="_ADJ16" localSheetId="32">'Template names'!#REF!</definedName>
    <definedName name="_ADJ16" localSheetId="33">'Template names'!#REF!</definedName>
    <definedName name="_ADJ16" localSheetId="57">'Template names'!#REF!</definedName>
    <definedName name="_ADJ16">'Template names'!#REF!</definedName>
    <definedName name="_ADJ17" localSheetId="31">'Template names'!#REF!</definedName>
    <definedName name="_ADJ17" localSheetId="32">'Template names'!#REF!</definedName>
    <definedName name="_ADJ17" localSheetId="33">'Template names'!#REF!</definedName>
    <definedName name="_ADJ17" localSheetId="57">'Template names'!#REF!</definedName>
    <definedName name="_ADJ17">'Template names'!#REF!</definedName>
    <definedName name="_ADJ18" localSheetId="31">'Template names'!#REF!</definedName>
    <definedName name="_ADJ18" localSheetId="32">'Template names'!#REF!</definedName>
    <definedName name="_ADJ18" localSheetId="33">'Template names'!#REF!</definedName>
    <definedName name="_ADJ18" localSheetId="57">'Template names'!#REF!</definedName>
    <definedName name="_ADJ18">'Template names'!#REF!</definedName>
    <definedName name="_ADJ19" localSheetId="31">'Template names'!#REF!</definedName>
    <definedName name="_ADJ19" localSheetId="32">'Template names'!#REF!</definedName>
    <definedName name="_ADJ19" localSheetId="33">'Template names'!#REF!</definedName>
    <definedName name="_ADJ19" localSheetId="57">'Template names'!#REF!</definedName>
    <definedName name="_ADJ19">'Template names'!#REF!</definedName>
    <definedName name="_ADJ2" localSheetId="31">'Template names'!#REF!</definedName>
    <definedName name="_ADJ2" localSheetId="32">'Template names'!#REF!</definedName>
    <definedName name="_ADJ2" localSheetId="33">'Template names'!#REF!</definedName>
    <definedName name="_ADJ2" localSheetId="57">'Template names'!#REF!</definedName>
    <definedName name="_ADJ2">'Template names'!#REF!</definedName>
    <definedName name="_ADJ3" localSheetId="31">'Template names'!#REF!</definedName>
    <definedName name="_ADJ3" localSheetId="32">'Template names'!#REF!</definedName>
    <definedName name="_ADJ3" localSheetId="33">'Template names'!#REF!</definedName>
    <definedName name="_ADJ3" localSheetId="57">'Template names'!#REF!</definedName>
    <definedName name="_ADJ3">'Template names'!#REF!</definedName>
    <definedName name="_ADJ4" localSheetId="31">'Template names'!#REF!</definedName>
    <definedName name="_ADJ4" localSheetId="32">'Template names'!#REF!</definedName>
    <definedName name="_ADJ4" localSheetId="33">'Template names'!#REF!</definedName>
    <definedName name="_ADJ4" localSheetId="57">'Template names'!#REF!</definedName>
    <definedName name="_ADJ4">'Template names'!#REF!</definedName>
    <definedName name="_ADJ5" localSheetId="31">'Template names'!#REF!</definedName>
    <definedName name="_ADJ5" localSheetId="32">'Template names'!#REF!</definedName>
    <definedName name="_ADJ5" localSheetId="33">'Template names'!#REF!</definedName>
    <definedName name="_ADJ5" localSheetId="57">'Template names'!#REF!</definedName>
    <definedName name="_ADJ5">'Template names'!#REF!</definedName>
    <definedName name="_ADJ6" localSheetId="31">'Template names'!#REF!</definedName>
    <definedName name="_ADJ6" localSheetId="32">'Template names'!#REF!</definedName>
    <definedName name="_ADJ6" localSheetId="33">'Template names'!#REF!</definedName>
    <definedName name="_ADJ6" localSheetId="57">'Template names'!#REF!</definedName>
    <definedName name="_ADJ6">'Template names'!#REF!</definedName>
    <definedName name="_ADJ7" localSheetId="31">'Template names'!#REF!</definedName>
    <definedName name="_ADJ7" localSheetId="32">'Template names'!#REF!</definedName>
    <definedName name="_ADJ7" localSheetId="33">'Template names'!#REF!</definedName>
    <definedName name="_ADJ7" localSheetId="57">'Template names'!#REF!</definedName>
    <definedName name="_ADJ7">'Template names'!#REF!</definedName>
    <definedName name="_ADJ8" localSheetId="31">'Template names'!#REF!</definedName>
    <definedName name="_ADJ8" localSheetId="32">'Template names'!#REF!</definedName>
    <definedName name="_ADJ8" localSheetId="33">'Template names'!#REF!</definedName>
    <definedName name="_ADJ8" localSheetId="57">'Template names'!#REF!</definedName>
    <definedName name="_ADJ8">'Template names'!#REF!</definedName>
    <definedName name="_ADJ9" localSheetId="31">'Template names'!#REF!</definedName>
    <definedName name="_ADJ9" localSheetId="32">'Template names'!#REF!</definedName>
    <definedName name="_ADJ9" localSheetId="33">'Template names'!#REF!</definedName>
    <definedName name="_ADJ9" localSheetId="57">'Template names'!#REF!</definedName>
    <definedName name="_ADJ9">'Template names'!#REF!</definedName>
    <definedName name="_ccf04" localSheetId="31">#REF!</definedName>
    <definedName name="_ccf04" localSheetId="32">#REF!</definedName>
    <definedName name="_ccf04" localSheetId="33">#REF!</definedName>
    <definedName name="_ccf04" localSheetId="57">#REF!</definedName>
    <definedName name="_ccf04">#REF!</definedName>
    <definedName name="_ccf05" localSheetId="31">#REF!</definedName>
    <definedName name="_ccf05" localSheetId="32">#REF!</definedName>
    <definedName name="_ccf05" localSheetId="33">#REF!</definedName>
    <definedName name="_ccf05" localSheetId="57">#REF!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'[1]Balance Sheet'!$D$50</definedName>
    <definedName name="_cpi2">'[1]Balance Sheet'!$E$50</definedName>
    <definedName name="_cpi3">'[1]Balance Sheet'!$F$50</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1">#REF!</definedName>
    <definedName name="_ecf04" localSheetId="32">#REF!</definedName>
    <definedName name="_ecf04" localSheetId="33">#REF!</definedName>
    <definedName name="_ecf04" localSheetId="57">#REF!</definedName>
    <definedName name="_ecf04">#REF!</definedName>
    <definedName name="_ecf05" localSheetId="31">#REF!</definedName>
    <definedName name="_ecf05" localSheetId="32">#REF!</definedName>
    <definedName name="_ecf05" localSheetId="33">#REF!</definedName>
    <definedName name="_ecf05" localSheetId="57">#REF!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1">#REF!</definedName>
    <definedName name="_emp04" localSheetId="32">#REF!</definedName>
    <definedName name="_emp04" localSheetId="33">#REF!</definedName>
    <definedName name="_emp04" localSheetId="57">#REF!</definedName>
    <definedName name="_emp04">#REF!</definedName>
    <definedName name="_emp05" localSheetId="31">#REF!</definedName>
    <definedName name="_emp05" localSheetId="32">#REF!</definedName>
    <definedName name="_emp05" localSheetId="33">#REF!</definedName>
    <definedName name="_emp05" localSheetId="57">#REF!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xlnm._FilterDatabase" localSheetId="59" hidden="1">'SA36'!$Q$6:$Q$78</definedName>
    <definedName name="_inf1" localSheetId="31">#REF!</definedName>
    <definedName name="_inf1" localSheetId="32">#REF!</definedName>
    <definedName name="_inf1" localSheetId="33">#REF!</definedName>
    <definedName name="_inf1" localSheetId="57">#REF!</definedName>
    <definedName name="_inf1">#REF!</definedName>
    <definedName name="_inf2" localSheetId="31">#REF!</definedName>
    <definedName name="_inf2" localSheetId="32">#REF!</definedName>
    <definedName name="_inf2" localSheetId="33">#REF!</definedName>
    <definedName name="_inf2" localSheetId="57">#REF!</definedName>
    <definedName name="_inf2">#REF!</definedName>
    <definedName name="_inf3" localSheetId="31">#REF!</definedName>
    <definedName name="_inf3" localSheetId="32">#REF!</definedName>
    <definedName name="_inf3" localSheetId="33">#REF!</definedName>
    <definedName name="_inf3" localSheetId="57">#REF!</definedName>
    <definedName name="_inf3">#REF!</definedName>
    <definedName name="_int04" localSheetId="31">#REF!</definedName>
    <definedName name="_int04" localSheetId="32">#REF!</definedName>
    <definedName name="_int04" localSheetId="33">#REF!</definedName>
    <definedName name="_int04" localSheetId="57">#REF!</definedName>
    <definedName name="_int04">#REF!</definedName>
    <definedName name="_int05" localSheetId="31">#REF!</definedName>
    <definedName name="_int05" localSheetId="32">#REF!</definedName>
    <definedName name="_int05" localSheetId="33">#REF!</definedName>
    <definedName name="_int05" localSheetId="57">#REF!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1">#REF!</definedName>
    <definedName name="_inv04" localSheetId="32">#REF!</definedName>
    <definedName name="_inv04" localSheetId="33">#REF!</definedName>
    <definedName name="_inv04" localSheetId="57">#REF!</definedName>
    <definedName name="_inv04">#REF!</definedName>
    <definedName name="_inv05" localSheetId="31">#REF!</definedName>
    <definedName name="_inv05" localSheetId="32">#REF!</definedName>
    <definedName name="_inv05" localSheetId="33">#REF!</definedName>
    <definedName name="_inv05" localSheetId="57">#REF!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1">'Template names'!#REF!</definedName>
    <definedName name="_MEB1" localSheetId="32">'Template names'!#REF!</definedName>
    <definedName name="_MEB1" localSheetId="33">'Template names'!#REF!</definedName>
    <definedName name="_MEB1" localSheetId="57">'Template names'!#REF!</definedName>
    <definedName name="_MEB1">'Template names'!#REF!</definedName>
    <definedName name="_MEB10" localSheetId="31">'Template names'!#REF!</definedName>
    <definedName name="_MEB10" localSheetId="32">'Template names'!#REF!</definedName>
    <definedName name="_MEB10" localSheetId="33">'Template names'!#REF!</definedName>
    <definedName name="_MEB10" localSheetId="57">'Template names'!#REF!</definedName>
    <definedName name="_MEB10">'Template names'!#REF!</definedName>
    <definedName name="_MEB11" localSheetId="31">'Template names'!#REF!</definedName>
    <definedName name="_MEB11" localSheetId="32">'Template names'!#REF!</definedName>
    <definedName name="_MEB11" localSheetId="33">'Template names'!#REF!</definedName>
    <definedName name="_MEB11" localSheetId="57">'Template names'!#REF!</definedName>
    <definedName name="_MEB11">'Template names'!#REF!</definedName>
    <definedName name="_MEB12" localSheetId="31">'Template names'!#REF!</definedName>
    <definedName name="_MEB12" localSheetId="32">'Template names'!#REF!</definedName>
    <definedName name="_MEB12" localSheetId="33">'Template names'!#REF!</definedName>
    <definedName name="_MEB12" localSheetId="57">'Template names'!#REF!</definedName>
    <definedName name="_MEB12">'Template names'!#REF!</definedName>
    <definedName name="_MEB2" localSheetId="31">'Template names'!#REF!</definedName>
    <definedName name="_MEB2" localSheetId="32">'Template names'!#REF!</definedName>
    <definedName name="_MEB2" localSheetId="33">'Template names'!#REF!</definedName>
    <definedName name="_MEB2" localSheetId="57">'Template names'!#REF!</definedName>
    <definedName name="_MEB2">'Template names'!#REF!</definedName>
    <definedName name="_MEB3" localSheetId="31">'Template names'!#REF!</definedName>
    <definedName name="_MEB3" localSheetId="32">'Template names'!#REF!</definedName>
    <definedName name="_MEB3" localSheetId="33">'Template names'!#REF!</definedName>
    <definedName name="_MEB3" localSheetId="57">'Template names'!#REF!</definedName>
    <definedName name="_MEB3">'Template names'!#REF!</definedName>
    <definedName name="_MEB4" localSheetId="31">'Template names'!#REF!</definedName>
    <definedName name="_MEB4" localSheetId="32">'Template names'!#REF!</definedName>
    <definedName name="_MEB4" localSheetId="33">'Template names'!#REF!</definedName>
    <definedName name="_MEB4" localSheetId="57">'Template names'!#REF!</definedName>
    <definedName name="_MEB4">'Template names'!#REF!</definedName>
    <definedName name="_MEB5" localSheetId="31">'Template names'!#REF!</definedName>
    <definedName name="_MEB5" localSheetId="32">'Template names'!#REF!</definedName>
    <definedName name="_MEB5" localSheetId="33">'Template names'!#REF!</definedName>
    <definedName name="_MEB5" localSheetId="57">'Template names'!#REF!</definedName>
    <definedName name="_MEB5">'Template names'!#REF!</definedName>
    <definedName name="_MEB6" localSheetId="31">'Template names'!#REF!</definedName>
    <definedName name="_MEB6" localSheetId="32">'Template names'!#REF!</definedName>
    <definedName name="_MEB6" localSheetId="33">'Template names'!#REF!</definedName>
    <definedName name="_MEB6" localSheetId="57">'Template names'!#REF!</definedName>
    <definedName name="_MEB6">'Template names'!#REF!</definedName>
    <definedName name="_MEB7" localSheetId="31">'Template names'!#REF!</definedName>
    <definedName name="_MEB7" localSheetId="32">'Template names'!#REF!</definedName>
    <definedName name="_MEB7" localSheetId="33">'Template names'!#REF!</definedName>
    <definedName name="_MEB7" localSheetId="57">'Template names'!#REF!</definedName>
    <definedName name="_MEB7">'Template names'!#REF!</definedName>
    <definedName name="_MEB8" localSheetId="31">'Template names'!#REF!</definedName>
    <definedName name="_MEB8" localSheetId="32">'Template names'!#REF!</definedName>
    <definedName name="_MEB8" localSheetId="33">'Template names'!#REF!</definedName>
    <definedName name="_MEB8" localSheetId="57">'Template names'!#REF!</definedName>
    <definedName name="_MEB8">'Template names'!#REF!</definedName>
    <definedName name="_MEB9" localSheetId="31">'Template names'!#REF!</definedName>
    <definedName name="_MEB9" localSheetId="32">'Template names'!#REF!</definedName>
    <definedName name="_MEB9" localSheetId="33">'Template names'!#REF!</definedName>
    <definedName name="_MEB9" localSheetId="57">'Template names'!#REF!</definedName>
    <definedName name="_MEB9">'Template names'!#REF!</definedName>
    <definedName name="_MER1" localSheetId="31">'Template names'!#REF!</definedName>
    <definedName name="_MER1" localSheetId="32">'Template names'!#REF!</definedName>
    <definedName name="_MER1" localSheetId="33">'Template names'!#REF!</definedName>
    <definedName name="_MER1" localSheetId="57">'Template names'!#REF!</definedName>
    <definedName name="_MER1">'Template names'!#REF!</definedName>
    <definedName name="_MER10" localSheetId="31">'Template names'!#REF!</definedName>
    <definedName name="_MER10" localSheetId="32">'Template names'!#REF!</definedName>
    <definedName name="_MER10" localSheetId="33">'Template names'!#REF!</definedName>
    <definedName name="_MER10" localSheetId="57">'Template names'!#REF!</definedName>
    <definedName name="_MER10">'Template names'!#REF!</definedName>
    <definedName name="_MER11" localSheetId="31">'Template names'!#REF!</definedName>
    <definedName name="_MER11" localSheetId="32">'Template names'!#REF!</definedName>
    <definedName name="_MER11" localSheetId="33">'Template names'!#REF!</definedName>
    <definedName name="_MER11" localSheetId="57">'Template names'!#REF!</definedName>
    <definedName name="_MER11">'Template names'!#REF!</definedName>
    <definedName name="_MER2" localSheetId="31">'Template names'!#REF!</definedName>
    <definedName name="_MER2" localSheetId="32">'Template names'!#REF!</definedName>
    <definedName name="_MER2" localSheetId="33">'Template names'!#REF!</definedName>
    <definedName name="_MER2" localSheetId="57">'Template names'!#REF!</definedName>
    <definedName name="_MER2">'Template names'!#REF!</definedName>
    <definedName name="_MER3" localSheetId="31">'Template names'!#REF!</definedName>
    <definedName name="_MER3" localSheetId="32">'Template names'!#REF!</definedName>
    <definedName name="_MER3" localSheetId="33">'Template names'!#REF!</definedName>
    <definedName name="_MER3" localSheetId="57">'Template names'!#REF!</definedName>
    <definedName name="_MER3">'Template names'!#REF!</definedName>
    <definedName name="_MER4" localSheetId="31">'Template names'!#REF!</definedName>
    <definedName name="_MER4" localSheetId="32">'Template names'!#REF!</definedName>
    <definedName name="_MER4" localSheetId="33">'Template names'!#REF!</definedName>
    <definedName name="_MER4" localSheetId="57">'Template names'!#REF!</definedName>
    <definedName name="_MER4">'Template names'!#REF!</definedName>
    <definedName name="_MER5" localSheetId="31">'Template names'!#REF!</definedName>
    <definedName name="_MER5" localSheetId="32">'Template names'!#REF!</definedName>
    <definedName name="_MER5" localSheetId="33">'Template names'!#REF!</definedName>
    <definedName name="_MER5" localSheetId="57">'Template names'!#REF!</definedName>
    <definedName name="_MER5">'Template names'!#REF!</definedName>
    <definedName name="_MER6" localSheetId="31">'Template names'!#REF!</definedName>
    <definedName name="_MER6" localSheetId="32">'Template names'!#REF!</definedName>
    <definedName name="_MER6" localSheetId="33">'Template names'!#REF!</definedName>
    <definedName name="_MER6" localSheetId="57">'Template names'!#REF!</definedName>
    <definedName name="_MER6">'Template names'!#REF!</definedName>
    <definedName name="_MER7" localSheetId="31">'Template names'!#REF!</definedName>
    <definedName name="_MER7" localSheetId="32">'Template names'!#REF!</definedName>
    <definedName name="_MER7" localSheetId="33">'Template names'!#REF!</definedName>
    <definedName name="_MER7" localSheetId="57">'Template names'!#REF!</definedName>
    <definedName name="_MER7">'Template names'!#REF!</definedName>
    <definedName name="_MER8" localSheetId="31">'Template names'!#REF!</definedName>
    <definedName name="_MER8" localSheetId="32">'Template names'!#REF!</definedName>
    <definedName name="_MER8" localSheetId="33">'Template names'!#REF!</definedName>
    <definedName name="_MER8" localSheetId="57">'Template names'!#REF!</definedName>
    <definedName name="_MER8">'Template names'!#REF!</definedName>
    <definedName name="_MER9" localSheetId="31">'Template names'!#REF!</definedName>
    <definedName name="_MER9" localSheetId="32">'Template names'!#REF!</definedName>
    <definedName name="_MER9" localSheetId="33">'Template names'!#REF!</definedName>
    <definedName name="_MER9" localSheetId="57">'Template names'!#REF!</definedName>
    <definedName name="_MER9">'Template names'!#REF!</definedName>
    <definedName name="_rat03" localSheetId="31">#REF!</definedName>
    <definedName name="_rat03" localSheetId="32">#REF!</definedName>
    <definedName name="_rat03" localSheetId="33">#REF!</definedName>
    <definedName name="_rat03" localSheetId="57">#REF!</definedName>
    <definedName name="_rat03">#REF!</definedName>
    <definedName name="_rat04" localSheetId="31">#REF!</definedName>
    <definedName name="_rat04" localSheetId="32">#REF!</definedName>
    <definedName name="_rat04" localSheetId="33">#REF!</definedName>
    <definedName name="_rat04" localSheetId="57">#REF!</definedName>
    <definedName name="_rat04">#REF!</definedName>
    <definedName name="_rat05" localSheetId="31">#REF!</definedName>
    <definedName name="_rat05" localSheetId="32">#REF!</definedName>
    <definedName name="_rat05" localSheetId="33">#REF!</definedName>
    <definedName name="_rat05" localSheetId="57">#REF!</definedName>
    <definedName name="_rat05">#REF!</definedName>
    <definedName name="_rat06" localSheetId="31">#REF!</definedName>
    <definedName name="_rat06" localSheetId="32">#REF!</definedName>
    <definedName name="_rat06" localSheetId="33">#REF!</definedName>
    <definedName name="_rat06" localSheetId="57">#REF!</definedName>
    <definedName name="_rat06">#REF!</definedName>
    <definedName name="_rat07" localSheetId="31">#REF!</definedName>
    <definedName name="_rat07" localSheetId="32">#REF!</definedName>
    <definedName name="_rat07" localSheetId="33">#REF!</definedName>
    <definedName name="_rat07" localSheetId="57">#REF!</definedName>
    <definedName name="_rat07">#REF!</definedName>
    <definedName name="_rat08" localSheetId="31">#REF!</definedName>
    <definedName name="_rat08" localSheetId="32">#REF!</definedName>
    <definedName name="_rat08" localSheetId="33">#REF!</definedName>
    <definedName name="_rat08" localSheetId="57">#REF!</definedName>
    <definedName name="_rat08">#REF!</definedName>
    <definedName name="_rat09" localSheetId="31">#REF!</definedName>
    <definedName name="_rat09" localSheetId="32">#REF!</definedName>
    <definedName name="_rat09" localSheetId="33">#REF!</definedName>
    <definedName name="_rat09" localSheetId="57">#REF!</definedName>
    <definedName name="_rat09">#REF!</definedName>
    <definedName name="_rat10" localSheetId="31">#REF!</definedName>
    <definedName name="_rat10" localSheetId="32">#REF!</definedName>
    <definedName name="_rat10" localSheetId="33">#REF!</definedName>
    <definedName name="_rat10" localSheetId="57">#REF!</definedName>
    <definedName name="_rat10">#REF!</definedName>
    <definedName name="_rat11" localSheetId="31">#REF!</definedName>
    <definedName name="_rat11" localSheetId="32">#REF!</definedName>
    <definedName name="_rat11" localSheetId="33">#REF!</definedName>
    <definedName name="_rat11" localSheetId="57">#REF!</definedName>
    <definedName name="_rat11">#REF!</definedName>
    <definedName name="_rat12" localSheetId="31">#REF!</definedName>
    <definedName name="_rat12" localSheetId="32">#REF!</definedName>
    <definedName name="_rat12" localSheetId="33">#REF!</definedName>
    <definedName name="_rat12" localSheetId="57">#REF!</definedName>
    <definedName name="_rat12">#REF!</definedName>
    <definedName name="_rat13" localSheetId="31">#REF!</definedName>
    <definedName name="_rat13" localSheetId="32">#REF!</definedName>
    <definedName name="_rat13" localSheetId="33">#REF!</definedName>
    <definedName name="_rat13" localSheetId="57">#REF!</definedName>
    <definedName name="_rat13">#REF!</definedName>
    <definedName name="_rgr05" localSheetId="31">#REF!</definedName>
    <definedName name="_rgr05" localSheetId="32">#REF!</definedName>
    <definedName name="_rgr05" localSheetId="33">#REF!</definedName>
    <definedName name="_rgr05" localSheetId="57">#REF!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1">#REF!</definedName>
    <definedName name="_rmc05" localSheetId="32">#REF!</definedName>
    <definedName name="_rmc05" localSheetId="33">#REF!</definedName>
    <definedName name="_rmc05" localSheetId="57">#REF!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1">#REF!</definedName>
    <definedName name="_sdc05" localSheetId="32">#REF!</definedName>
    <definedName name="_sdc05" localSheetId="33">#REF!</definedName>
    <definedName name="_sdc05" localSheetId="57">#REF!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1">#REF!</definedName>
    <definedName name="_wc05" localSheetId="32">#REF!</definedName>
    <definedName name="_wc05" localSheetId="33">#REF!</definedName>
    <definedName name="_wc05" localSheetId="57">#REF!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1">'Template names'!#REF!</definedName>
    <definedName name="ADJ10plus" localSheetId="32">'Template names'!#REF!</definedName>
    <definedName name="ADJ10plus" localSheetId="33">'Template names'!#REF!</definedName>
    <definedName name="ADJ10plus" localSheetId="57">'Template names'!#REF!</definedName>
    <definedName name="ADJ10plus">'Template names'!#REF!</definedName>
    <definedName name="ADJ18A" localSheetId="31">'Template names'!#REF!</definedName>
    <definedName name="ADJ18A" localSheetId="32">'Template names'!#REF!</definedName>
    <definedName name="ADJ18A" localSheetId="33">'Template names'!#REF!</definedName>
    <definedName name="ADJ18A" localSheetId="57">'Template names'!#REF!</definedName>
    <definedName name="ADJ18A">'Template names'!#REF!</definedName>
    <definedName name="ADJ18B" localSheetId="31">'Template names'!#REF!</definedName>
    <definedName name="ADJ18B" localSheetId="32">'Template names'!#REF!</definedName>
    <definedName name="ADJ18B" localSheetId="33">'Template names'!#REF!</definedName>
    <definedName name="ADJ18B" localSheetId="57">'Template names'!#REF!</definedName>
    <definedName name="ADJ18B">'Template names'!#REF!</definedName>
    <definedName name="ADJ19B" localSheetId="31">'Template names'!#REF!</definedName>
    <definedName name="ADJ19B" localSheetId="32">'Template names'!#REF!</definedName>
    <definedName name="ADJ19B" localSheetId="33">'Template names'!#REF!</definedName>
    <definedName name="ADJ19B" localSheetId="57">'Template names'!#REF!</definedName>
    <definedName name="ADJ19B">'Template names'!#REF!</definedName>
    <definedName name="ADJ8A" localSheetId="31">'Template names'!#REF!</definedName>
    <definedName name="ADJ8A" localSheetId="32">'Template names'!#REF!</definedName>
    <definedName name="ADJ8A" localSheetId="33">'Template names'!#REF!</definedName>
    <definedName name="ADJ8A" localSheetId="57">'Template names'!#REF!</definedName>
    <definedName name="ADJ8A">'Template names'!#REF!</definedName>
    <definedName name="ADJ8B" localSheetId="31">'Template names'!#REF!</definedName>
    <definedName name="ADJ8B" localSheetId="32">'Template names'!#REF!</definedName>
    <definedName name="ADJ8B" localSheetId="33">'Template names'!#REF!</definedName>
    <definedName name="ADJ8B" localSheetId="57">'Template names'!#REF!</definedName>
    <definedName name="ADJ8B">'Template names'!#REF!</definedName>
    <definedName name="ADJP1" localSheetId="31">'Template names'!#REF!</definedName>
    <definedName name="ADJP1" localSheetId="32">'Template names'!#REF!</definedName>
    <definedName name="ADJP1" localSheetId="33">'Template names'!#REF!</definedName>
    <definedName name="ADJP1" localSheetId="57">'Template names'!#REF!</definedName>
    <definedName name="ADJP1">'Template names'!#REF!</definedName>
    <definedName name="adjsum" localSheetId="31">'Template names'!#REF!</definedName>
    <definedName name="adjsum" localSheetId="32">'Template names'!#REF!</definedName>
    <definedName name="adjsum" localSheetId="33">'Template names'!#REF!</definedName>
    <definedName name="adjsum" localSheetId="57">'Template names'!#REF!</definedName>
    <definedName name="adjsum">'Template names'!#REF!</definedName>
    <definedName name="ADJTB1" localSheetId="31">'Template names'!#REF!</definedName>
    <definedName name="ADJTB1" localSheetId="32">'Template names'!#REF!</definedName>
    <definedName name="ADJTB1" localSheetId="33">'Template names'!#REF!</definedName>
    <definedName name="ADJTB1" localSheetId="57">'Template names'!#REF!</definedName>
    <definedName name="ADJTB1">'Template names'!#REF!</definedName>
    <definedName name="ADJXX" localSheetId="31">'Template names'!#REF!</definedName>
    <definedName name="ADJXX" localSheetId="32">'Template names'!#REF!</definedName>
    <definedName name="ADJXX" localSheetId="33">'Template names'!#REF!</definedName>
    <definedName name="ADJXX" localSheetId="57">'Template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sub_class">'Lookup and lists'!$AA$15:$AA$59</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1">#REF!</definedName>
    <definedName name="balloon" localSheetId="32">#REF!</definedName>
    <definedName name="balloon" localSheetId="33">#REF!</definedName>
    <definedName name="balloon" localSheetId="57">#REF!</definedName>
    <definedName name="balloon">#REF!</definedName>
    <definedName name="basedesc">'Template names'!$D$39:$D$39</definedName>
    <definedName name="baseindex">'Template names'!$B$88:$B$89</definedName>
    <definedName name="Bus" localSheetId="31">#REF!</definedName>
    <definedName name="Bus" localSheetId="32">#REF!</definedName>
    <definedName name="Bus" localSheetId="33">#REF!</definedName>
    <definedName name="Bus" localSheetId="57">#REF!</definedName>
    <definedName name="Bus">#REF!</definedName>
    <definedName name="capexfactor" localSheetId="31">#REF!</definedName>
    <definedName name="capexfactor" localSheetId="32">#REF!</definedName>
    <definedName name="capexfactor" localSheetId="33">#REF!</definedName>
    <definedName name="capexfactor" localSheetId="57">#REF!</definedName>
    <definedName name="capexfactor">#REF!</definedName>
    <definedName name="capexlimit06">#REF!</definedName>
    <definedName name="capexlimit07">#REF!</definedName>
    <definedName name="capexlimit08">#REF!</definedName>
    <definedName name="capexlimit09">#REF!</definedName>
    <definedName name="capexrate04" localSheetId="31">#REF!</definedName>
    <definedName name="capexrate04" localSheetId="32">#REF!</definedName>
    <definedName name="capexrate04" localSheetId="33">#REF!</definedName>
    <definedName name="capexrate04" localSheetId="57">#REF!</definedName>
    <definedName name="capexrate04">#REF!</definedName>
    <definedName name="capexrate05" localSheetId="31">#REF!</definedName>
    <definedName name="capexrate05" localSheetId="32">#REF!</definedName>
    <definedName name="capexrate05" localSheetId="33">#REF!</definedName>
    <definedName name="capexrate05" localSheetId="57">#REF!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names'!$B$155</definedName>
    <definedName name="ChartA10">'Template names'!$B$164</definedName>
    <definedName name="ChartA11">'Template names'!$B$165</definedName>
    <definedName name="ChartA12">'Template names'!$B$166</definedName>
    <definedName name="ChartA13">'Template names'!$B$167</definedName>
    <definedName name="ChartA2">'Template names'!$B$156</definedName>
    <definedName name="ChartA3">'Template names'!$B$157</definedName>
    <definedName name="ChartA4">'Template names'!$B$158</definedName>
    <definedName name="ChartA5">'Template names'!$B$159</definedName>
    <definedName name="ChartA6">'Template names'!$B$160</definedName>
    <definedName name="ChartA7">'Template names'!$B$161</definedName>
    <definedName name="ChartA8">'Template names'!$B$162</definedName>
    <definedName name="ChartA9">'Template names'!$B$163</definedName>
    <definedName name="choosebase">'Template names'!$B$89:$B$90</definedName>
    <definedName name="Consolques">'Template names'!$A$95</definedName>
    <definedName name="cpix04" localSheetId="31">#REF!</definedName>
    <definedName name="cpix04" localSheetId="32">#REF!</definedName>
    <definedName name="cpix04" localSheetId="33">#REF!</definedName>
    <definedName name="cpix04" localSheetId="57">#REF!</definedName>
    <definedName name="cpix04">#REF!</definedName>
    <definedName name="cpix05" localSheetId="31">#REF!</definedName>
    <definedName name="cpix05" localSheetId="32">#REF!</definedName>
    <definedName name="cpix05" localSheetId="33">#REF!</definedName>
    <definedName name="cpix05" localSheetId="57">#REF!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1">#REF!</definedName>
    <definedName name="credit06" localSheetId="32">#REF!</definedName>
    <definedName name="credit06" localSheetId="33">#REF!</definedName>
    <definedName name="credit06" localSheetId="57">#REF!</definedName>
    <definedName name="credit06">#REF!</definedName>
    <definedName name="date">[2]Data!$B$2</definedName>
    <definedName name="debt03" localSheetId="31">#REF!</definedName>
    <definedName name="debt03" localSheetId="32">#REF!</definedName>
    <definedName name="debt03" localSheetId="33">#REF!</definedName>
    <definedName name="debt03" localSheetId="57">#REF!</definedName>
    <definedName name="debt03">#REF!</definedName>
    <definedName name="debt04" localSheetId="31">#REF!</definedName>
    <definedName name="debt04" localSheetId="32">#REF!</definedName>
    <definedName name="debt04" localSheetId="33">#REF!</definedName>
    <definedName name="debt04" localSheetId="57">#REF!</definedName>
    <definedName name="debt04">#REF!</definedName>
    <definedName name="debt05" localSheetId="31">#REF!</definedName>
    <definedName name="debt05" localSheetId="32">#REF!</definedName>
    <definedName name="debt05" localSheetId="33">#REF!</definedName>
    <definedName name="debt05" localSheetId="57">#REF!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1">#REF!</definedName>
    <definedName name="debtrev04" localSheetId="32">#REF!</definedName>
    <definedName name="debtrev04" localSheetId="33">#REF!</definedName>
    <definedName name="debtrev04" localSheetId="57">#REF!</definedName>
    <definedName name="debtrev04">#REF!</definedName>
    <definedName name="debtrev05" localSheetId="31">#REF!</definedName>
    <definedName name="debtrev05" localSheetId="32">#REF!</definedName>
    <definedName name="debtrev05" localSheetId="33">#REF!</definedName>
    <definedName name="debtrev05" localSheetId="57">#REF!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1">#REF!</definedName>
    <definedName name="ecchoice" localSheetId="32">#REF!</definedName>
    <definedName name="ecchoice" localSheetId="33">#REF!</definedName>
    <definedName name="ecchoice" localSheetId="57">#REF!</definedName>
    <definedName name="ecchoice">#REF!</definedName>
    <definedName name="elec05" localSheetId="31">#REF!</definedName>
    <definedName name="elec05" localSheetId="32">#REF!</definedName>
    <definedName name="elec05" localSheetId="33">#REF!</definedName>
    <definedName name="elec05" localSheetId="57">#REF!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1">#REF!</definedName>
    <definedName name="eskom07" localSheetId="32">#REF!</definedName>
    <definedName name="eskom07" localSheetId="33">#REF!</definedName>
    <definedName name="eskom07" localSheetId="57">#REF!</definedName>
    <definedName name="eskom07">#REF!</definedName>
    <definedName name="FinYear">Instructions!$X$36</definedName>
    <definedName name="finyears" localSheetId="31">#REF!</definedName>
    <definedName name="finyears" localSheetId="32">#REF!</definedName>
    <definedName name="finyears" localSheetId="33">#REF!</definedName>
    <definedName name="finyears" localSheetId="57">#REF!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1">#REF!</definedName>
    <definedName name="hhgr05" localSheetId="32">#REF!</definedName>
    <definedName name="hhgr05" localSheetId="33">#REF!</definedName>
    <definedName name="hhgr05" localSheetId="57">#REF!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1">#REF!</definedName>
    <definedName name="incentive" localSheetId="32">#REF!</definedName>
    <definedName name="incentive" localSheetId="33">#REF!</definedName>
    <definedName name="incentive" localSheetId="57">#REF!</definedName>
    <definedName name="incentive">#REF!</definedName>
    <definedName name="infra">#REF!</definedName>
    <definedName name="Infrarenewal">#REF!</definedName>
    <definedName name="infrastratnum">#REF!</definedName>
    <definedName name="Instructions">#REF!</definedName>
    <definedName name="inventory" localSheetId="31">#REF!</definedName>
    <definedName name="inventory" localSheetId="32">#REF!</definedName>
    <definedName name="inventory" localSheetId="33">#REF!</definedName>
    <definedName name="inventory" localSheetId="57">#REF!</definedName>
    <definedName name="inventory">#REF!</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1">#REF!</definedName>
    <definedName name="longterm" localSheetId="32">#REF!</definedName>
    <definedName name="longterm" localSheetId="33">#REF!</definedName>
    <definedName name="longterm" localSheetId="57">#REF!</definedName>
    <definedName name="longterm">#REF!</definedName>
    <definedName name="MEAB1" localSheetId="31">'Template names'!#REF!</definedName>
    <definedName name="MEAB1" localSheetId="32">'Template names'!#REF!</definedName>
    <definedName name="MEAB1" localSheetId="33">'Template names'!#REF!</definedName>
    <definedName name="MEAB1" localSheetId="57">'Template names'!#REF!</definedName>
    <definedName name="MEAB1">'Template names'!#REF!</definedName>
    <definedName name="MEAB10" localSheetId="31">'Template names'!#REF!</definedName>
    <definedName name="MEAB10" localSheetId="32">'Template names'!#REF!</definedName>
    <definedName name="MEAB10" localSheetId="33">'Template names'!#REF!</definedName>
    <definedName name="MEAB10" localSheetId="57">'Template names'!#REF!</definedName>
    <definedName name="MEAB10">'Template names'!#REF!</definedName>
    <definedName name="MEAB11" localSheetId="31">'Template names'!#REF!</definedName>
    <definedName name="MEAB11" localSheetId="32">'Template names'!#REF!</definedName>
    <definedName name="MEAB11" localSheetId="33">'Template names'!#REF!</definedName>
    <definedName name="MEAB11" localSheetId="57">'Template names'!#REF!</definedName>
    <definedName name="MEAB11">'Template names'!#REF!</definedName>
    <definedName name="MEAB2" localSheetId="31">'Template names'!#REF!</definedName>
    <definedName name="MEAB2" localSheetId="32">'Template names'!#REF!</definedName>
    <definedName name="MEAB2" localSheetId="33">'Template names'!#REF!</definedName>
    <definedName name="MEAB2" localSheetId="57">'Template names'!#REF!</definedName>
    <definedName name="MEAB2">'Template names'!#REF!</definedName>
    <definedName name="MEAB3" localSheetId="31">'Template names'!#REF!</definedName>
    <definedName name="MEAB3" localSheetId="32">'Template names'!#REF!</definedName>
    <definedName name="MEAB3" localSheetId="33">'Template names'!#REF!</definedName>
    <definedName name="MEAB3" localSheetId="57">'Template names'!#REF!</definedName>
    <definedName name="MEAB3">'Template names'!#REF!</definedName>
    <definedName name="MEAB4" localSheetId="31">'Template names'!#REF!</definedName>
    <definedName name="MEAB4" localSheetId="32">'Template names'!#REF!</definedName>
    <definedName name="MEAB4" localSheetId="33">'Template names'!#REF!</definedName>
    <definedName name="MEAB4" localSheetId="57">'Template names'!#REF!</definedName>
    <definedName name="MEAB4">'Template names'!#REF!</definedName>
    <definedName name="MEAB5" localSheetId="31">'Template names'!#REF!</definedName>
    <definedName name="MEAB5" localSheetId="32">'Template names'!#REF!</definedName>
    <definedName name="MEAB5" localSheetId="33">'Template names'!#REF!</definedName>
    <definedName name="MEAB5" localSheetId="57">'Template names'!#REF!</definedName>
    <definedName name="MEAB5">'Template names'!#REF!</definedName>
    <definedName name="MEAB6" localSheetId="31">'Template names'!#REF!</definedName>
    <definedName name="MEAB6" localSheetId="32">'Template names'!#REF!</definedName>
    <definedName name="MEAB6" localSheetId="33">'Template names'!#REF!</definedName>
    <definedName name="MEAB6" localSheetId="57">'Template names'!#REF!</definedName>
    <definedName name="MEAB6">'Template names'!#REF!</definedName>
    <definedName name="MEAB7" localSheetId="31">'Template names'!#REF!</definedName>
    <definedName name="MEAB7" localSheetId="32">'Template names'!#REF!</definedName>
    <definedName name="MEAB7" localSheetId="33">'Template names'!#REF!</definedName>
    <definedName name="MEAB7" localSheetId="57">'Template names'!#REF!</definedName>
    <definedName name="MEAB7">'Template names'!#REF!</definedName>
    <definedName name="MEAB8" localSheetId="31">'Template names'!#REF!</definedName>
    <definedName name="MEAB8" localSheetId="32">'Template names'!#REF!</definedName>
    <definedName name="MEAB8" localSheetId="33">'Template names'!#REF!</definedName>
    <definedName name="MEAB8" localSheetId="57">'Template names'!#REF!</definedName>
    <definedName name="MEAB8">'Template names'!#REF!</definedName>
    <definedName name="MEAB9" localSheetId="31">'Template names'!#REF!</definedName>
    <definedName name="MEAB9" localSheetId="32">'Template names'!#REF!</definedName>
    <definedName name="MEAB9" localSheetId="33">'Template names'!#REF!</definedName>
    <definedName name="MEAB9" localSheetId="57">'Template names'!#REF!</definedName>
    <definedName name="MEAB9">'Template names'!#REF!</definedName>
    <definedName name="MEABsum" localSheetId="31">'Template names'!#REF!</definedName>
    <definedName name="MEABsum" localSheetId="32">'Template names'!#REF!</definedName>
    <definedName name="MEABsum" localSheetId="33">'Template names'!#REF!</definedName>
    <definedName name="MEABsum" localSheetId="57">'Template names'!#REF!</definedName>
    <definedName name="MEABsum">'Template names'!#REF!</definedName>
    <definedName name="MEB1A" localSheetId="31">'Template names'!#REF!</definedName>
    <definedName name="MEB1A" localSheetId="32">'Template names'!#REF!</definedName>
    <definedName name="MEB1A" localSheetId="33">'Template names'!#REF!</definedName>
    <definedName name="MEB1A" localSheetId="57">'Template names'!#REF!</definedName>
    <definedName name="MEB1A">'Template names'!#REF!</definedName>
    <definedName name="MEBsum" localSheetId="31">'Template names'!#REF!</definedName>
    <definedName name="MEBsum" localSheetId="32">'Template names'!#REF!</definedName>
    <definedName name="MEBsum" localSheetId="33">'Template names'!#REF!</definedName>
    <definedName name="MEBsum" localSheetId="57">'Template names'!#REF!</definedName>
    <definedName name="MEBsum">'Template names'!#REF!</definedName>
    <definedName name="MERsum" localSheetId="31">'Template names'!#REF!</definedName>
    <definedName name="MERsum" localSheetId="32">'Template names'!#REF!</definedName>
    <definedName name="MERsum" localSheetId="33">'Template names'!#REF!</definedName>
    <definedName name="MERsum" localSheetId="57">'Template names'!#REF!</definedName>
    <definedName name="MERsum">'Template names'!#REF!</definedName>
    <definedName name="month">[2]Data!$B$1</definedName>
    <definedName name="MTREF">Instructions!$X$34</definedName>
    <definedName name="muni">'Template names'!$B$93</definedName>
    <definedName name="MuniEntities">'Template names'!$B$94</definedName>
    <definedName name="MuniType">'Template names'!$D$94</definedName>
    <definedName name="nersa07" localSheetId="31">#REF!</definedName>
    <definedName name="nersa07" localSheetId="32">#REF!</definedName>
    <definedName name="nersa07" localSheetId="33">#REF!</definedName>
    <definedName name="nersa07" localSheetId="57">#REF!</definedName>
    <definedName name="nersa07">#REF!</definedName>
    <definedName name="nersa08" localSheetId="31">#REF!</definedName>
    <definedName name="nersa08" localSheetId="32">#REF!</definedName>
    <definedName name="nersa08" localSheetId="33">#REF!</definedName>
    <definedName name="nersa08" localSheetId="57">#REF!</definedName>
    <definedName name="nersa08">#REF!</definedName>
    <definedName name="nethhgr05" localSheetId="31">#REF!</definedName>
    <definedName name="nethhgr05" localSheetId="32">#REF!</definedName>
    <definedName name="nethhgr05" localSheetId="33">#REF!</definedName>
    <definedName name="nethhgr05" localSheetId="57">#REF!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[3]Names!$B$89</definedName>
    <definedName name="Orgstructurevotes">'Org structure'!$C$2</definedName>
    <definedName name="poorgr06">#REF!</definedName>
    <definedName name="_xlnm.Print_Area" localSheetId="18">'A10-SerDel'!$A$1:$K$87</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RE'!$A$1:$X$56</definedName>
    <definedName name="_xlnm.Print_Area" localSheetId="13">A5A!$A$1:$L$171</definedName>
    <definedName name="_xlnm.Print_Area" localSheetId="12">'A5-Capex'!$A$1:$L$84</definedName>
    <definedName name="_xlnm.Print_Area" localSheetId="14">'A6-FinPos'!$A$1:$L$54</definedName>
    <definedName name="_xlnm.Print_Area" localSheetId="15">'A7-CFlow'!$A$1:$L$41</definedName>
    <definedName name="_xlnm.Print_Area" localSheetId="16">'A8-ResRecon'!$A$1:$L$25</definedName>
    <definedName name="_xlnm.Print_Area" localSheetId="17">'A9-Asset'!$A$1:$K$93</definedName>
    <definedName name="_xlnm.Print_Area" localSheetId="5">Contacts!$A$1:$D$72</definedName>
    <definedName name="_xlnm.Print_Area" localSheetId="1">Instructions!$A$1:$M$47</definedName>
    <definedName name="_xlnm.Print_Area" localSheetId="61">NERF!$A$1:$M$68</definedName>
    <definedName name="_xlnm.Print_Area" localSheetId="19">'SA1'!$A$1:$L$172</definedName>
    <definedName name="_xlnm.Print_Area" localSheetId="28">'SA10'!$A$1:$M$34</definedName>
    <definedName name="_xlnm.Print_Area" localSheetId="29">'SA11'!$A$1:$K$73</definedName>
    <definedName name="_xlnm.Print_Area" localSheetId="30">SA12a!$A$1:$R$56</definedName>
    <definedName name="_xlnm.Print_Area" localSheetId="31">SA12b!$A$1:$R$110</definedName>
    <definedName name="_xlnm.Print_Area" localSheetId="32">SA13a!$A$1:$R$131</definedName>
    <definedName name="_xlnm.Print_Area" localSheetId="33">SA13b!$A$1:$R$54</definedName>
    <definedName name="_xlnm.Print_Area" localSheetId="34">'SA14'!$A$1:$L$53</definedName>
    <definedName name="_xlnm.Print_Area" localSheetId="35">'SA15'!$A$1:$K$35</definedName>
    <definedName name="_xlnm.Print_Area" localSheetId="36">'SA16'!$A$1:$L$34</definedName>
    <definedName name="_xlnm.Print_Area" localSheetId="37">'SA17'!$A$1:$K$70</definedName>
    <definedName name="_xlnm.Print_Area" localSheetId="39">'SA19'!$A$1:$K$54</definedName>
    <definedName name="_xlnm.Print_Area" localSheetId="20">'SA2'!$A$1:$R$44</definedName>
    <definedName name="_xlnm.Print_Area" localSheetId="40">'SA20'!$A$1:$K$58</definedName>
    <definedName name="_xlnm.Print_Area" localSheetId="41">'SA21'!$A$1:$L$73</definedName>
    <definedName name="_xlnm.Print_Area" localSheetId="42">'SA22'!$A$1:$K$120</definedName>
    <definedName name="_xlnm.Print_Area" localSheetId="43">'SA23'!$A$1:$I$70</definedName>
    <definedName name="_xlnm.Print_Area" localSheetId="44">'SA24'!$A$1:$K$51</definedName>
    <definedName name="_xlnm.Print_Area" localSheetId="45">'SA25'!$A$1:$Q$48</definedName>
    <definedName name="_xlnm.Print_Area" localSheetId="46">'SA26'!$A$1:$Q$47</definedName>
    <definedName name="_xlnm.Print_Area" localSheetId="47">'SA27'!$A$1:$Q$55</definedName>
    <definedName name="_xlnm.Print_Area" localSheetId="48">'SA28'!$A$1:$Q$44</definedName>
    <definedName name="_xlnm.Print_Area" localSheetId="49">'SA29'!$A$1:$Q$28</definedName>
    <definedName name="_xlnm.Print_Area" localSheetId="21">'SA3'!$A$1:$L$75</definedName>
    <definedName name="_xlnm.Print_Area" localSheetId="50">'SA30'!$A$1:$P$56</definedName>
    <definedName name="_xlnm.Print_Area" localSheetId="51">'SA31'!$A$1:$K$42</definedName>
    <definedName name="_xlnm.Print_Area" localSheetId="52">'SA32'!$A$1:$F$27</definedName>
    <definedName name="_xlnm.Print_Area" localSheetId="53">'SA33'!$A$1:$O$47</definedName>
    <definedName name="_xlnm.Print_Area" localSheetId="54">SA34a!$A$1:$K$90</definedName>
    <definedName name="_xlnm.Print_Area" localSheetId="58">'SA35'!$A$1:$I$58</definedName>
    <definedName name="_xlnm.Print_Area" localSheetId="59">'SA36'!$A$1:$Q$103</definedName>
    <definedName name="_xlnm.Print_Area" localSheetId="60">'SA37'!$A$1:$M$27</definedName>
    <definedName name="_xlnm.Print_Area" localSheetId="22">'SA4'!$A$1:$M$47</definedName>
    <definedName name="_xlnm.Print_Area" localSheetId="23">'SA5'!$A$1:$M$34</definedName>
    <definedName name="_xlnm.Print_Area" localSheetId="24">'SA6'!$A$1:$M$33</definedName>
    <definedName name="_xlnm.Print_Area" localSheetId="25">'SA7'!$A$1:$K$94</definedName>
    <definedName name="_xlnm.Print_Area" localSheetId="26">'SA8'!$A$1:$L$40</definedName>
    <definedName name="_xlnm.Print_Area" localSheetId="27">'SA9'!$A$1:$M$68</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1">#REF!</definedName>
    <definedName name="Rand000" localSheetId="32">#REF!</definedName>
    <definedName name="Rand000" localSheetId="33">#REF!</definedName>
    <definedName name="Rand000" localSheetId="57">#REF!</definedName>
    <definedName name="Rand000">#REF!</definedName>
    <definedName name="RandM">'Template names'!$B$70</definedName>
    <definedName name="REDHHGR06" localSheetId="31">#REF!</definedName>
    <definedName name="REDHHGR06" localSheetId="32">#REF!</definedName>
    <definedName name="REDHHGR06" localSheetId="33">#REF!</definedName>
    <definedName name="REDHHGR06" localSheetId="57">#REF!</definedName>
    <definedName name="REDHHGR06">#REF!</definedName>
    <definedName name="redhhgr07" localSheetId="31">#REF!</definedName>
    <definedName name="redhhgr07" localSheetId="32">#REF!</definedName>
    <definedName name="redhhgr07" localSheetId="33">#REF!</definedName>
    <definedName name="redhhgr07" localSheetId="57">#REF!</definedName>
    <definedName name="redhhgr07">#REF!</definedName>
    <definedName name="redrev06" localSheetId="31">#REF!</definedName>
    <definedName name="redrev06" localSheetId="32">#REF!</definedName>
    <definedName name="redrev06" localSheetId="33">#REF!</definedName>
    <definedName name="redrev06" localSheetId="57">#REF!</definedName>
    <definedName name="redrev06">#REF!</definedName>
    <definedName name="redrev07" localSheetId="31">#REF!</definedName>
    <definedName name="redrev07" localSheetId="32">#REF!</definedName>
    <definedName name="redrev07" localSheetId="33">#REF!</definedName>
    <definedName name="redrev07" localSheetId="57">#REF!</definedName>
    <definedName name="redrev07">#REF!</definedName>
    <definedName name="Reds" localSheetId="31">#REF!</definedName>
    <definedName name="Reds" localSheetId="32">#REF!</definedName>
    <definedName name="Reds" localSheetId="33">#REF!</definedName>
    <definedName name="Reds" localSheetId="57">#REF!</definedName>
    <definedName name="Reds">#REF!</definedName>
    <definedName name="renewyears">#REF!</definedName>
    <definedName name="Request0506" localSheetId="31">#REF!</definedName>
    <definedName name="Request0506" localSheetId="32">#REF!</definedName>
    <definedName name="Request0506" localSheetId="33">#REF!</definedName>
    <definedName name="Request0506" localSheetId="57">#REF!</definedName>
    <definedName name="Request0506">#REF!</definedName>
    <definedName name="resiprop">#REF!</definedName>
    <definedName name="result">'Template names'!$B$35</definedName>
    <definedName name="rmcRED06" localSheetId="31">#REF!</definedName>
    <definedName name="rmcRED06" localSheetId="32">#REF!</definedName>
    <definedName name="rmcRED06" localSheetId="33">#REF!</definedName>
    <definedName name="rmcRED06" localSheetId="57">#REF!</definedName>
    <definedName name="rmcRED06">#REF!</definedName>
    <definedName name="rmcred07" localSheetId="31">#REF!</definedName>
    <definedName name="rmcred07" localSheetId="32">#REF!</definedName>
    <definedName name="rmcred07" localSheetId="33">#REF!</definedName>
    <definedName name="rmcred07" localSheetId="57">#REF!</definedName>
    <definedName name="rmcred07">#REF!</definedName>
    <definedName name="roundfactor" localSheetId="31">#REF!</definedName>
    <definedName name="roundfactor" localSheetId="32">#REF!</definedName>
    <definedName name="roundfactor" localSheetId="33">#REF!</definedName>
    <definedName name="roundfactor" localSheetId="57">#REF!</definedName>
    <definedName name="roundfactor">#REF!</definedName>
    <definedName name="S71A" localSheetId="31">'Template names'!#REF!</definedName>
    <definedName name="S71A" localSheetId="32">'Template names'!#REF!</definedName>
    <definedName name="S71A" localSheetId="33">'Template names'!#REF!</definedName>
    <definedName name="S71A" localSheetId="57">'Template names'!#REF!</definedName>
    <definedName name="S71A">'Template names'!#REF!</definedName>
    <definedName name="S71B" localSheetId="31">'Template names'!#REF!</definedName>
    <definedName name="S71B" localSheetId="32">'Template names'!#REF!</definedName>
    <definedName name="S71B" localSheetId="33">'Template names'!#REF!</definedName>
    <definedName name="S71B" localSheetId="57">'Template names'!#REF!</definedName>
    <definedName name="S71B">'Template names'!#REF!</definedName>
    <definedName name="s71B8" localSheetId="31">'Template names'!#REF!</definedName>
    <definedName name="s71B8" localSheetId="32">'Template names'!#REF!</definedName>
    <definedName name="s71B8" localSheetId="33">'Template names'!#REF!</definedName>
    <definedName name="s71B8" localSheetId="57">'Template names'!#REF!</definedName>
    <definedName name="s71B8">'Template names'!#REF!</definedName>
    <definedName name="s71B9" localSheetId="31">'Template names'!#REF!</definedName>
    <definedName name="s71B9" localSheetId="32">'Template names'!#REF!</definedName>
    <definedName name="s71B9" localSheetId="33">'Template names'!#REF!</definedName>
    <definedName name="s71B9" localSheetId="57">'Template names'!#REF!</definedName>
    <definedName name="s71B9">'Template names'!#REF!</definedName>
    <definedName name="S71C" localSheetId="31">'Template names'!#REF!</definedName>
    <definedName name="S71C" localSheetId="32">'Template names'!#REF!</definedName>
    <definedName name="S71C" localSheetId="33">'Template names'!#REF!</definedName>
    <definedName name="S71C" localSheetId="57">'Template names'!#REF!</definedName>
    <definedName name="S71C">'Template names'!#REF!</definedName>
    <definedName name="S71D" localSheetId="31">'Template names'!#REF!</definedName>
    <definedName name="S71D" localSheetId="32">'Template names'!#REF!</definedName>
    <definedName name="S71D" localSheetId="33">'Template names'!#REF!</definedName>
    <definedName name="S71D" localSheetId="57">'Template names'!#REF!</definedName>
    <definedName name="S71D">'Template names'!#REF!</definedName>
    <definedName name="S71E" localSheetId="31">'Template names'!#REF!</definedName>
    <definedName name="S71E" localSheetId="32">'Template names'!#REF!</definedName>
    <definedName name="S71E" localSheetId="33">'Template names'!#REF!</definedName>
    <definedName name="S71E" localSheetId="57">'Template names'!#REF!</definedName>
    <definedName name="S71E">'Template names'!#REF!</definedName>
    <definedName name="S71F" localSheetId="31">'Template names'!#REF!</definedName>
    <definedName name="S71F" localSheetId="32">'Template names'!#REF!</definedName>
    <definedName name="S71F" localSheetId="33">'Template names'!#REF!</definedName>
    <definedName name="S71F" localSheetId="57">'Template names'!#REF!</definedName>
    <definedName name="S71F">'Template names'!#REF!</definedName>
    <definedName name="S71G" localSheetId="31">'Template names'!#REF!</definedName>
    <definedName name="S71G" localSheetId="32">'Template names'!#REF!</definedName>
    <definedName name="S71G" localSheetId="33">'Template names'!#REF!</definedName>
    <definedName name="S71G" localSheetId="57">'Template names'!#REF!</definedName>
    <definedName name="S71G">'Template names'!#REF!</definedName>
    <definedName name="S71H" localSheetId="31">'Template names'!#REF!</definedName>
    <definedName name="S71H" localSheetId="32">'Template names'!#REF!</definedName>
    <definedName name="S71H" localSheetId="33">'Template names'!#REF!</definedName>
    <definedName name="S71H" localSheetId="57">'Template names'!#REF!</definedName>
    <definedName name="S71H">'Template names'!#REF!</definedName>
    <definedName name="S71I" localSheetId="31">'Template names'!#REF!</definedName>
    <definedName name="S71I" localSheetId="32">'Template names'!#REF!</definedName>
    <definedName name="S71I" localSheetId="33">'Template names'!#REF!</definedName>
    <definedName name="S71I" localSheetId="57">'Template names'!#REF!</definedName>
    <definedName name="S71I">'Template names'!#REF!</definedName>
    <definedName name="S71J" localSheetId="31">'Template names'!#REF!</definedName>
    <definedName name="S71J" localSheetId="32">'Template names'!#REF!</definedName>
    <definedName name="S71J" localSheetId="33">'Template names'!#REF!</definedName>
    <definedName name="S71J" localSheetId="57">'Template names'!#REF!</definedName>
    <definedName name="S71J">'Template names'!#REF!</definedName>
    <definedName name="S71K" localSheetId="31">'Template names'!#REF!</definedName>
    <definedName name="S71K" localSheetId="32">'Template names'!#REF!</definedName>
    <definedName name="S71K" localSheetId="33">'Template names'!#REF!</definedName>
    <definedName name="S71K" localSheetId="57">'Template names'!#REF!</definedName>
    <definedName name="S71K">'Template names'!#REF!</definedName>
    <definedName name="S71L" localSheetId="31">'Template names'!#REF!</definedName>
    <definedName name="S71L" localSheetId="32">'Template names'!#REF!</definedName>
    <definedName name="S71L" localSheetId="33">'Template names'!#REF!</definedName>
    <definedName name="S71L" localSheetId="57">'Template names'!#REF!</definedName>
    <definedName name="S71L">'Template names'!#REF!</definedName>
    <definedName name="S71M" localSheetId="31">'Template names'!#REF!</definedName>
    <definedName name="S71M" localSheetId="32">'Template names'!#REF!</definedName>
    <definedName name="S71M" localSheetId="33">'Template names'!#REF!</definedName>
    <definedName name="S71M" localSheetId="57">'Template names'!#REF!</definedName>
    <definedName name="S71M">'Template names'!#REF!</definedName>
    <definedName name="S71N" localSheetId="31">'Template names'!#REF!</definedName>
    <definedName name="S71N" localSheetId="32">'Template names'!#REF!</definedName>
    <definedName name="S71N" localSheetId="33">'Template names'!#REF!</definedName>
    <definedName name="S71N" localSheetId="57">'Template names'!#REF!</definedName>
    <definedName name="S71N">'Template names'!#REF!</definedName>
    <definedName name="S71O" localSheetId="31">'Template names'!#REF!</definedName>
    <definedName name="S71O" localSheetId="32">'Template names'!#REF!</definedName>
    <definedName name="S71O" localSheetId="33">'Template names'!#REF!</definedName>
    <definedName name="S71O" localSheetId="57">'Template names'!#REF!</definedName>
    <definedName name="S71O">'Template names'!#REF!</definedName>
    <definedName name="S71P" localSheetId="31">'Template names'!#REF!</definedName>
    <definedName name="S71P" localSheetId="32">'Template names'!#REF!</definedName>
    <definedName name="S71P" localSheetId="33">'Template names'!#REF!</definedName>
    <definedName name="S71P" localSheetId="57">'Template names'!#REF!</definedName>
    <definedName name="S71P">'Template names'!#REF!</definedName>
    <definedName name="S71Q" localSheetId="31">'Template names'!#REF!</definedName>
    <definedName name="S71Q" localSheetId="32">'Template names'!#REF!</definedName>
    <definedName name="S71Q" localSheetId="33">'Template names'!#REF!</definedName>
    <definedName name="S71Q" localSheetId="57">'Template names'!#REF!</definedName>
    <definedName name="S71Q">'Template names'!#REF!</definedName>
    <definedName name="S71SDBIP" localSheetId="31">'Template names'!#REF!</definedName>
    <definedName name="S71SDBIP" localSheetId="32">'Template names'!#REF!</definedName>
    <definedName name="S71SDBIP" localSheetId="33">'Template names'!#REF!</definedName>
    <definedName name="S71SDBIP" localSheetId="57">'Template names'!#REF!</definedName>
    <definedName name="S71SDBIP">'Template names'!#REF!</definedName>
    <definedName name="s71sum" localSheetId="31">'Template names'!#REF!</definedName>
    <definedName name="s71sum" localSheetId="32">'Template names'!#REF!</definedName>
    <definedName name="s71sum" localSheetId="33">'Template names'!#REF!</definedName>
    <definedName name="s71sum" localSheetId="57">'Template names'!#REF!</definedName>
    <definedName name="s71sum">'Template names'!#REF!</definedName>
    <definedName name="Scale">'Compliance assessment'!$L$77</definedName>
    <definedName name="scenario" localSheetId="31">#REF!</definedName>
    <definedName name="scenario" localSheetId="32">#REF!</definedName>
    <definedName name="scenario" localSheetId="33">#REF!</definedName>
    <definedName name="scenario" localSheetId="57">#REF!</definedName>
    <definedName name="scenario">#REF!</definedName>
    <definedName name="SDBIP1" localSheetId="31">'Template names'!#REF!</definedName>
    <definedName name="SDBIP1" localSheetId="32">'Template names'!#REF!</definedName>
    <definedName name="SDBIP1" localSheetId="33">'Template names'!#REF!</definedName>
    <definedName name="SDBIP1" localSheetId="57">'Template names'!#REF!</definedName>
    <definedName name="SDBIP1">'Template names'!#REF!</definedName>
    <definedName name="SDBIP10" localSheetId="31">'Template names'!#REF!</definedName>
    <definedName name="SDBIP10" localSheetId="32">'Template names'!#REF!</definedName>
    <definedName name="SDBIP10" localSheetId="33">'Template names'!#REF!</definedName>
    <definedName name="SDBIP10" localSheetId="57">'Template names'!#REF!</definedName>
    <definedName name="SDBIP10">'Template names'!#REF!</definedName>
    <definedName name="SDBIP2" localSheetId="31">'Template names'!#REF!</definedName>
    <definedName name="SDBIP2" localSheetId="32">'Template names'!#REF!</definedName>
    <definedName name="SDBIP2" localSheetId="33">'Template names'!#REF!</definedName>
    <definedName name="SDBIP2" localSheetId="57">'Template names'!#REF!</definedName>
    <definedName name="SDBIP2">'Template names'!#REF!</definedName>
    <definedName name="SDBIP3" localSheetId="31">'Template names'!#REF!</definedName>
    <definedName name="SDBIP3" localSheetId="32">'Template names'!#REF!</definedName>
    <definedName name="SDBIP3" localSheetId="33">'Template names'!#REF!</definedName>
    <definedName name="SDBIP3" localSheetId="57">'Template names'!#REF!</definedName>
    <definedName name="SDBIP3">'Template names'!#REF!</definedName>
    <definedName name="SDBIP4" localSheetId="31">'Template names'!#REF!</definedName>
    <definedName name="SDBIP4" localSheetId="32">'Template names'!#REF!</definedName>
    <definedName name="SDBIP4" localSheetId="33">'Template names'!#REF!</definedName>
    <definedName name="SDBIP4" localSheetId="57">'Template names'!#REF!</definedName>
    <definedName name="SDBIP4">'Template names'!#REF!</definedName>
    <definedName name="SDBIP8" localSheetId="31">'Template names'!#REF!</definedName>
    <definedName name="SDBIP8" localSheetId="32">'Template names'!#REF!</definedName>
    <definedName name="SDBIP8" localSheetId="33">'Template names'!#REF!</definedName>
    <definedName name="SDBIP8" localSheetId="57">'Template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1">'Template names'!#REF!</definedName>
    <definedName name="TabC3" localSheetId="32">'Template names'!#REF!</definedName>
    <definedName name="TabC3" localSheetId="33">'Template names'!#REF!</definedName>
    <definedName name="TabC3" localSheetId="57">'Template names'!#REF!</definedName>
    <definedName name="TabC3">'Template names'!#REF!</definedName>
    <definedName name="TabC4" localSheetId="31">'Template names'!#REF!</definedName>
    <definedName name="TabC4" localSheetId="32">'Template names'!#REF!</definedName>
    <definedName name="TabC4" localSheetId="33">'Template names'!#REF!</definedName>
    <definedName name="TabC4" localSheetId="57">'Template names'!#REF!</definedName>
    <definedName name="TabC4">'Template names'!#REF!</definedName>
    <definedName name="TabC5" localSheetId="31">'Template names'!#REF!</definedName>
    <definedName name="TabC5" localSheetId="32">'Template names'!#REF!</definedName>
    <definedName name="TabC5" localSheetId="33">'Template names'!#REF!</definedName>
    <definedName name="TabC5" localSheetId="57">'Template names'!#REF!</definedName>
    <definedName name="TabC5">'Template names'!#REF!</definedName>
    <definedName name="TabC6" localSheetId="31">'Template names'!#REF!</definedName>
    <definedName name="TabC6" localSheetId="32">'Template names'!#REF!</definedName>
    <definedName name="TabC6" localSheetId="33">'Template names'!#REF!</definedName>
    <definedName name="TabC6" localSheetId="57">'Template names'!#REF!</definedName>
    <definedName name="TabC6">'Template names'!#REF!</definedName>
    <definedName name="Tabc7" localSheetId="31">'Template names'!#REF!</definedName>
    <definedName name="Tabc7" localSheetId="32">'Template names'!#REF!</definedName>
    <definedName name="Tabc7" localSheetId="33">'Template names'!#REF!</definedName>
    <definedName name="Tabc7" localSheetId="57">'Template names'!#REF!</definedName>
    <definedName name="Tabc7">'Template names'!#REF!</definedName>
    <definedName name="Tabc8" localSheetId="31">'Template names'!#REF!</definedName>
    <definedName name="Tabc8" localSheetId="32">'Template names'!#REF!</definedName>
    <definedName name="Tabc8" localSheetId="33">'Template names'!#REF!</definedName>
    <definedName name="Tabc8" localSheetId="57">'Template names'!#REF!</definedName>
    <definedName name="Tabc8">'Template names'!#REF!</definedName>
    <definedName name="Tabc9" localSheetId="31">'Template names'!#REF!</definedName>
    <definedName name="Tabc9" localSheetId="32">'Template names'!#REF!</definedName>
    <definedName name="Tabc9" localSheetId="33">'Template names'!#REF!</definedName>
    <definedName name="Tabc9" localSheetId="57">'Template names'!#REF!</definedName>
    <definedName name="Tabc9">'Template names'!#REF!</definedName>
    <definedName name="Tablc8" localSheetId="31">'Template names'!#REF!</definedName>
    <definedName name="Tablc8" localSheetId="32">'Template names'!#REF!</definedName>
    <definedName name="Tablc8" localSheetId="33">'Template names'!#REF!</definedName>
    <definedName name="Tablc8" localSheetId="57">'Template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5">'Template names'!$B$150</definedName>
    <definedName name="TableA36">'Template names'!$B$151</definedName>
    <definedName name="TableA37">'Template names'!$B$152</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1">'Template names'!#REF!</definedName>
    <definedName name="TableD7" localSheetId="32">'Template names'!#REF!</definedName>
    <definedName name="TableD7" localSheetId="33">'Template names'!#REF!</definedName>
    <definedName name="TableD7" localSheetId="57">'Template names'!#REF!</definedName>
    <definedName name="TableD7">'Template names'!#REF!</definedName>
    <definedName name="TableD8" localSheetId="31">'Template names'!#REF!</definedName>
    <definedName name="TableD8" localSheetId="32">'Template names'!#REF!</definedName>
    <definedName name="TableD8" localSheetId="33">'Template names'!#REF!</definedName>
    <definedName name="TableD8" localSheetId="57">'Template names'!#REF!</definedName>
    <definedName name="TableD8">'Template names'!#REF!</definedName>
    <definedName name="TableE4" localSheetId="31">'Template names'!#REF!</definedName>
    <definedName name="TableE4" localSheetId="32">'Template names'!#REF!</definedName>
    <definedName name="TableE4" localSheetId="33">'Template names'!#REF!</definedName>
    <definedName name="TableE4" localSheetId="57">'Template names'!#REF!</definedName>
    <definedName name="TableE4">'Template names'!#REF!</definedName>
    <definedName name="TableE7" localSheetId="31">'Template names'!#REF!</definedName>
    <definedName name="TableE7" localSheetId="32">'Template names'!#REF!</definedName>
    <definedName name="TableE7" localSheetId="33">'Template names'!#REF!</definedName>
    <definedName name="TableE7" localSheetId="57">'Template names'!#REF!</definedName>
    <definedName name="TableE7">'Template names'!#REF!</definedName>
    <definedName name="TableE9" localSheetId="31">'Template names'!#REF!</definedName>
    <definedName name="TableE9" localSheetId="32">'Template names'!#REF!</definedName>
    <definedName name="TableE9" localSheetId="33">'Template names'!#REF!</definedName>
    <definedName name="TableE9" localSheetId="57">'Template names'!#REF!</definedName>
    <definedName name="TableE9">'Template names'!#REF!</definedName>
    <definedName name="TableF6" localSheetId="31">'Template names'!#REF!</definedName>
    <definedName name="TableF6" localSheetId="32">'Template names'!#REF!</definedName>
    <definedName name="TableF6" localSheetId="33">'Template names'!#REF!</definedName>
    <definedName name="TableF6" localSheetId="57">'Template names'!#REF!</definedName>
    <definedName name="TableF6">'Template names'!#REF!</definedName>
    <definedName name="tariffdisc05" localSheetId="31">#REF!</definedName>
    <definedName name="tariffdisc05" localSheetId="32">#REF!</definedName>
    <definedName name="tariffdisc05" localSheetId="33">#REF!</definedName>
    <definedName name="tariffdisc05" localSheetId="57">#REF!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[2]Data!$B$3</definedName>
  </definedNames>
  <calcPr calcId="145621" fullCalcOnLoad="1"/>
  <fileRecoveryPr autoRecover="0"/>
</workbook>
</file>

<file path=xl/calcChain.xml><?xml version="1.0" encoding="utf-8"?>
<calcChain xmlns="http://schemas.openxmlformats.org/spreadsheetml/2006/main">
  <c r="E123" i="351" l="1"/>
  <c r="E129" i="351"/>
  <c r="E29" i="127"/>
  <c r="E196" i="342"/>
  <c r="E35" i="127"/>
  <c r="K45" i="129"/>
  <c r="F56" i="248"/>
  <c r="G56" i="248"/>
  <c r="H56" i="248"/>
  <c r="I61" i="248"/>
  <c r="J61" i="248"/>
  <c r="L130" i="255"/>
  <c r="K130" i="255"/>
  <c r="J130" i="255"/>
  <c r="L54" i="128"/>
  <c r="K54" i="128"/>
  <c r="J54" i="128"/>
  <c r="K8" i="358"/>
  <c r="J8" i="358"/>
  <c r="I8" i="358"/>
  <c r="H52" i="358"/>
  <c r="G52" i="358"/>
  <c r="H8" i="358"/>
  <c r="G8" i="358"/>
  <c r="H9" i="358"/>
  <c r="G9" i="358"/>
  <c r="E63" i="358"/>
  <c r="K52" i="248"/>
  <c r="J52" i="248"/>
  <c r="I52" i="248"/>
  <c r="H52" i="248"/>
  <c r="G52" i="248"/>
  <c r="F52" i="248"/>
  <c r="E52" i="248"/>
  <c r="D52" i="248"/>
  <c r="C52" i="248"/>
  <c r="C56" i="248"/>
  <c r="C23" i="128"/>
  <c r="K63" i="358"/>
  <c r="F54" i="128"/>
  <c r="G54" i="128" s="1"/>
  <c r="H54" i="128" s="1"/>
  <c r="I54" i="128" s="1"/>
  <c r="E54" i="128"/>
  <c r="D54" i="128"/>
  <c r="C54" i="128"/>
  <c r="J23" i="128"/>
  <c r="L45" i="129"/>
  <c r="L23" i="128"/>
  <c r="K23" i="128"/>
  <c r="J45" i="129"/>
  <c r="D63" i="349"/>
  <c r="K81" i="358"/>
  <c r="M17" i="300"/>
  <c r="M24" i="300"/>
  <c r="E36" i="316"/>
  <c r="K10" i="143"/>
  <c r="L11" i="143"/>
  <c r="G13" i="127"/>
  <c r="H26" i="127"/>
  <c r="F207" i="342"/>
  <c r="E207" i="342"/>
  <c r="D207" i="342"/>
  <c r="C207" i="342"/>
  <c r="G139" i="351"/>
  <c r="H139" i="351" s="1"/>
  <c r="E27" i="127"/>
  <c r="C26" i="127"/>
  <c r="D72" i="126"/>
  <c r="E73" i="126"/>
  <c r="G21" i="129"/>
  <c r="F21" i="129"/>
  <c r="H21" i="129" s="1"/>
  <c r="E45" i="129"/>
  <c r="F45" i="129"/>
  <c r="G45" i="129"/>
  <c r="I139" i="351"/>
  <c r="K139" i="351"/>
  <c r="J139" i="351"/>
  <c r="I208" i="342"/>
  <c r="J208" i="342"/>
  <c r="K208" i="342"/>
  <c r="I123" i="351"/>
  <c r="K126" i="351"/>
  <c r="K209" i="342"/>
  <c r="J28" i="342"/>
  <c r="K9" i="351"/>
  <c r="J54" i="351"/>
  <c r="K12" i="127"/>
  <c r="E35" i="128"/>
  <c r="E23" i="128"/>
  <c r="F16" i="145"/>
  <c r="E16" i="145"/>
  <c r="D16" i="145"/>
  <c r="M84" i="256"/>
  <c r="N84" i="256"/>
  <c r="O84" i="256"/>
  <c r="K11" i="350"/>
  <c r="J11" i="350"/>
  <c r="I11" i="350"/>
  <c r="I11" i="134"/>
  <c r="J11" i="134"/>
  <c r="M21" i="141"/>
  <c r="L21" i="141"/>
  <c r="K21" i="141"/>
  <c r="M18" i="314"/>
  <c r="L18" i="314"/>
  <c r="K21" i="314"/>
  <c r="K18" i="314"/>
  <c r="J12" i="131"/>
  <c r="G6" i="131"/>
  <c r="G7" i="131"/>
  <c r="G8" i="131"/>
  <c r="G9" i="131"/>
  <c r="G12" i="131"/>
  <c r="G13" i="131"/>
  <c r="G14" i="131"/>
  <c r="J55" i="126"/>
  <c r="J200" i="343"/>
  <c r="V32" i="343"/>
  <c r="J45" i="126"/>
  <c r="J189" i="343"/>
  <c r="V29" i="343"/>
  <c r="J58" i="126"/>
  <c r="J41" i="349"/>
  <c r="I41" i="349"/>
  <c r="K59" i="349"/>
  <c r="J59" i="349"/>
  <c r="I59" i="349"/>
  <c r="X29" i="343"/>
  <c r="L58" i="126"/>
  <c r="K58" i="126"/>
  <c r="H43" i="146"/>
  <c r="H41" i="146"/>
  <c r="H40" i="146"/>
  <c r="H38" i="146"/>
  <c r="H36" i="146"/>
  <c r="H35" i="146"/>
  <c r="H34" i="146"/>
  <c r="H33" i="146"/>
  <c r="H23" i="146"/>
  <c r="H17" i="146"/>
  <c r="H19" i="146"/>
  <c r="E28" i="342"/>
  <c r="E54" i="351"/>
  <c r="I39" i="249"/>
  <c r="I42" i="136"/>
  <c r="H39" i="249"/>
  <c r="G39" i="249"/>
  <c r="F39" i="249"/>
  <c r="H42" i="136"/>
  <c r="G42" i="136"/>
  <c r="H47" i="136"/>
  <c r="D8" i="95"/>
  <c r="C8" i="95"/>
  <c r="D7" i="95"/>
  <c r="C7" i="95"/>
  <c r="K8" i="95"/>
  <c r="B8" i="95"/>
  <c r="L7" i="95"/>
  <c r="K7" i="95"/>
  <c r="B7" i="95"/>
  <c r="B40" i="95"/>
  <c r="C40" i="95"/>
  <c r="D40" i="95" s="1"/>
  <c r="P45" i="95"/>
  <c r="O45" i="95"/>
  <c r="N45" i="95"/>
  <c r="P39" i="95"/>
  <c r="O39" i="95"/>
  <c r="N39" i="95"/>
  <c r="B39" i="95" s="1"/>
  <c r="C39" i="95" s="1"/>
  <c r="D39" i="95" s="1"/>
  <c r="G174" i="342"/>
  <c r="H11" i="342"/>
  <c r="G11" i="342"/>
  <c r="G43" i="351"/>
  <c r="G60" i="351"/>
  <c r="H60" i="351" s="1"/>
  <c r="H59" i="351" s="1"/>
  <c r="H22" i="133" s="1"/>
  <c r="C64" i="128"/>
  <c r="D35" i="128"/>
  <c r="C35" i="128"/>
  <c r="D25" i="128"/>
  <c r="C25" i="128"/>
  <c r="C7" i="128"/>
  <c r="D9" i="129"/>
  <c r="D130" i="255"/>
  <c r="C130" i="255"/>
  <c r="C14" i="305"/>
  <c r="K6" i="131"/>
  <c r="J196" i="342"/>
  <c r="K28" i="342"/>
  <c r="J20" i="342"/>
  <c r="J33" i="342"/>
  <c r="I28" i="342"/>
  <c r="J126" i="351"/>
  <c r="J57" i="351"/>
  <c r="J112" i="351"/>
  <c r="J129" i="351"/>
  <c r="I70" i="351"/>
  <c r="I9" i="351"/>
  <c r="J9" i="351"/>
  <c r="I66" i="351"/>
  <c r="I59" i="350"/>
  <c r="I8" i="350"/>
  <c r="K54" i="134"/>
  <c r="J54" i="134"/>
  <c r="I54" i="134"/>
  <c r="A37" i="249"/>
  <c r="A36" i="249"/>
  <c r="A35" i="249"/>
  <c r="A34" i="249"/>
  <c r="A33" i="249"/>
  <c r="A32" i="249"/>
  <c r="D188" i="342"/>
  <c r="D139" i="351"/>
  <c r="D28" i="342"/>
  <c r="D123" i="351"/>
  <c r="D9" i="351"/>
  <c r="C17" i="342"/>
  <c r="C196" i="342"/>
  <c r="C123" i="351"/>
  <c r="C9" i="351"/>
  <c r="D35" i="127"/>
  <c r="K196" i="342"/>
  <c r="J188" i="342"/>
  <c r="J209" i="342"/>
  <c r="I196" i="342"/>
  <c r="I201" i="342"/>
  <c r="I20" i="342"/>
  <c r="K123" i="351"/>
  <c r="K96" i="351"/>
  <c r="K78" i="351"/>
  <c r="K60" i="351"/>
  <c r="K70" i="351"/>
  <c r="J70" i="351"/>
  <c r="I78" i="351"/>
  <c r="I96" i="351"/>
  <c r="I116" i="351"/>
  <c r="L82" i="255"/>
  <c r="K82" i="255"/>
  <c r="K54" i="351"/>
  <c r="I33" i="342"/>
  <c r="I129" i="351"/>
  <c r="I54" i="351"/>
  <c r="J82" i="255"/>
  <c r="G130" i="255"/>
  <c r="H130" i="255"/>
  <c r="I130" i="255" s="1"/>
  <c r="I19" i="127"/>
  <c r="I43" i="255"/>
  <c r="K188" i="342"/>
  <c r="I188" i="342"/>
  <c r="K201" i="342"/>
  <c r="J201" i="342"/>
  <c r="K20" i="342"/>
  <c r="K112" i="351"/>
  <c r="J130" i="351"/>
  <c r="I130" i="351"/>
  <c r="I112" i="351"/>
  <c r="J64" i="351"/>
  <c r="J60" i="351"/>
  <c r="I9" i="136"/>
  <c r="I10" i="136"/>
  <c r="K199" i="342"/>
  <c r="K185" i="342"/>
  <c r="K29" i="342"/>
  <c r="K32" i="342"/>
  <c r="K33" i="342"/>
  <c r="K81" i="351"/>
  <c r="K83" i="351"/>
  <c r="K105" i="351"/>
  <c r="J78" i="351"/>
  <c r="I65" i="351"/>
  <c r="K17" i="127"/>
  <c r="G201" i="342"/>
  <c r="G200" i="342"/>
  <c r="G199" i="342"/>
  <c r="G196" i="342"/>
  <c r="G188" i="342"/>
  <c r="G41" i="342"/>
  <c r="G39" i="342"/>
  <c r="G33" i="342"/>
  <c r="G32" i="342"/>
  <c r="G31" i="342"/>
  <c r="G20" i="342"/>
  <c r="H20" i="342"/>
  <c r="G135" i="351"/>
  <c r="G133" i="351"/>
  <c r="G132" i="351"/>
  <c r="G46" i="133" s="1"/>
  <c r="G131" i="351"/>
  <c r="G129" i="351"/>
  <c r="G126" i="351"/>
  <c r="G123" i="351"/>
  <c r="H123" i="351" s="1"/>
  <c r="H122" i="351" s="1"/>
  <c r="G78" i="351"/>
  <c r="G70" i="351"/>
  <c r="H70" i="351" s="1"/>
  <c r="H65" i="351" s="1"/>
  <c r="H24" i="133" s="1"/>
  <c r="G64" i="351"/>
  <c r="G57" i="351"/>
  <c r="G39" i="351"/>
  <c r="G38" i="351" s="1"/>
  <c r="G17" i="351"/>
  <c r="G9" i="351"/>
  <c r="G7" i="133"/>
  <c r="H43" i="255"/>
  <c r="I32" i="351"/>
  <c r="J83" i="351"/>
  <c r="I83" i="351"/>
  <c r="K129" i="351"/>
  <c r="I126" i="351"/>
  <c r="K100" i="351"/>
  <c r="J100" i="351"/>
  <c r="I100" i="351"/>
  <c r="K89" i="351"/>
  <c r="J89" i="351"/>
  <c r="I89" i="351"/>
  <c r="K87" i="351"/>
  <c r="J87" i="351"/>
  <c r="I87" i="351"/>
  <c r="K86" i="351"/>
  <c r="J86" i="351"/>
  <c r="I86" i="351"/>
  <c r="K114" i="351"/>
  <c r="K108" i="351"/>
  <c r="K103" i="351"/>
  <c r="K101" i="351"/>
  <c r="I101" i="351"/>
  <c r="I99" i="351"/>
  <c r="K97" i="351"/>
  <c r="J97" i="351"/>
  <c r="I97" i="351"/>
  <c r="K94" i="351"/>
  <c r="J94" i="351"/>
  <c r="K93" i="351"/>
  <c r="J93" i="351"/>
  <c r="K91" i="351"/>
  <c r="J91" i="351"/>
  <c r="I91" i="351"/>
  <c r="K77" i="351"/>
  <c r="J77" i="351"/>
  <c r="I77" i="351"/>
  <c r="K76" i="351"/>
  <c r="I76" i="351"/>
  <c r="K82" i="351"/>
  <c r="I82" i="351"/>
  <c r="J81" i="351"/>
  <c r="K80" i="351"/>
  <c r="I80" i="351"/>
  <c r="K133" i="351"/>
  <c r="I133" i="351"/>
  <c r="H13" i="127"/>
  <c r="G21" i="342"/>
  <c r="G28" i="342"/>
  <c r="H28" i="342" s="1"/>
  <c r="I12" i="127"/>
  <c r="G32" i="351"/>
  <c r="H32" i="351"/>
  <c r="H13" i="133"/>
  <c r="G14" i="351"/>
  <c r="H14" i="351" s="1"/>
  <c r="G34" i="351"/>
  <c r="G66" i="351"/>
  <c r="H66" i="351"/>
  <c r="H64" i="351"/>
  <c r="H63" i="351"/>
  <c r="H23" i="133" s="1"/>
  <c r="H57" i="351"/>
  <c r="H56" i="351"/>
  <c r="H21" i="133"/>
  <c r="G54" i="351"/>
  <c r="H54" i="351"/>
  <c r="H53" i="351"/>
  <c r="G47" i="351"/>
  <c r="H47" i="351" s="1"/>
  <c r="G45" i="351"/>
  <c r="H45" i="351" s="1"/>
  <c r="G44" i="351"/>
  <c r="H44" i="351" s="1"/>
  <c r="H43" i="351"/>
  <c r="G41" i="351"/>
  <c r="H41" i="351" s="1"/>
  <c r="H39" i="351"/>
  <c r="H38" i="351" s="1"/>
  <c r="G36" i="351"/>
  <c r="H36" i="351" s="1"/>
  <c r="H33" i="351" s="1"/>
  <c r="H14" i="133" s="1"/>
  <c r="H34" i="351"/>
  <c r="G31" i="351"/>
  <c r="H31" i="351" s="1"/>
  <c r="G30" i="351"/>
  <c r="H30" i="351" s="1"/>
  <c r="G28" i="351"/>
  <c r="H28" i="351" s="1"/>
  <c r="G27" i="351"/>
  <c r="H27" i="351" s="1"/>
  <c r="H26" i="351" s="1"/>
  <c r="H12" i="133" s="1"/>
  <c r="G25" i="351"/>
  <c r="H25" i="351" s="1"/>
  <c r="G20" i="351"/>
  <c r="H20" i="351" s="1"/>
  <c r="H17" i="351"/>
  <c r="G13" i="351"/>
  <c r="H13" i="351"/>
  <c r="G12" i="351"/>
  <c r="H12" i="351" s="1"/>
  <c r="G11" i="351"/>
  <c r="H11" i="351" s="1"/>
  <c r="H9" i="351"/>
  <c r="G8" i="351"/>
  <c r="H8" i="351" s="1"/>
  <c r="H6" i="351" s="1"/>
  <c r="H41" i="342"/>
  <c r="G40" i="342"/>
  <c r="G38" i="342" s="1"/>
  <c r="H40" i="342"/>
  <c r="H39" i="342"/>
  <c r="H38" i="342"/>
  <c r="H8" i="233" s="1"/>
  <c r="H33" i="342"/>
  <c r="H32" i="342"/>
  <c r="H31" i="342"/>
  <c r="G30" i="342"/>
  <c r="H30" i="342" s="1"/>
  <c r="G29" i="342"/>
  <c r="H29" i="342" s="1"/>
  <c r="H21" i="342"/>
  <c r="G19" i="342"/>
  <c r="H19" i="342" s="1"/>
  <c r="G18" i="342"/>
  <c r="H18" i="342" s="1"/>
  <c r="H16" i="342" s="1"/>
  <c r="H6" i="233" s="1"/>
  <c r="G12" i="342"/>
  <c r="H12" i="342" s="1"/>
  <c r="G10" i="342"/>
  <c r="H10" i="342" s="1"/>
  <c r="G9" i="342"/>
  <c r="H9" i="342" s="1"/>
  <c r="G8" i="342"/>
  <c r="H8" i="342" s="1"/>
  <c r="G6" i="342"/>
  <c r="H6" i="342"/>
  <c r="G209" i="342"/>
  <c r="H209" i="342" s="1"/>
  <c r="G208" i="342"/>
  <c r="H208" i="342" s="1"/>
  <c r="G207" i="342"/>
  <c r="H207" i="342" s="1"/>
  <c r="H201" i="342"/>
  <c r="H200" i="342"/>
  <c r="H199" i="342"/>
  <c r="G198" i="342"/>
  <c r="H198" i="342" s="1"/>
  <c r="G197" i="342"/>
  <c r="H197" i="342" s="1"/>
  <c r="H196" i="342"/>
  <c r="G189" i="342"/>
  <c r="H189" i="342" s="1"/>
  <c r="H188" i="342"/>
  <c r="G187" i="342"/>
  <c r="H187" i="342" s="1"/>
  <c r="G186" i="342"/>
  <c r="H186" i="342" s="1"/>
  <c r="G185" i="342"/>
  <c r="G184" i="342"/>
  <c r="G180" i="342"/>
  <c r="H180" i="342"/>
  <c r="G179" i="342"/>
  <c r="H179" i="342"/>
  <c r="G178" i="342"/>
  <c r="H178" i="342"/>
  <c r="G177" i="342"/>
  <c r="H177" i="342"/>
  <c r="G176" i="342"/>
  <c r="H176" i="342" s="1"/>
  <c r="G175" i="342"/>
  <c r="H175" i="342" s="1"/>
  <c r="H174" i="342"/>
  <c r="H173" i="342" s="1"/>
  <c r="H126" i="351"/>
  <c r="G138" i="351"/>
  <c r="H138" i="351"/>
  <c r="H135" i="351"/>
  <c r="H133" i="351"/>
  <c r="H132" i="351"/>
  <c r="H46" i="133"/>
  <c r="H131" i="351"/>
  <c r="G130" i="351"/>
  <c r="G128" i="351" s="1"/>
  <c r="H129" i="351"/>
  <c r="G116" i="351"/>
  <c r="H116" i="351" s="1"/>
  <c r="G114" i="351"/>
  <c r="H114" i="351" s="1"/>
  <c r="G113" i="351"/>
  <c r="H113" i="351" s="1"/>
  <c r="G112" i="351"/>
  <c r="H112" i="351" s="1"/>
  <c r="G110" i="351"/>
  <c r="H110" i="351" s="1"/>
  <c r="G108" i="351"/>
  <c r="H108" i="351" s="1"/>
  <c r="G105" i="351"/>
  <c r="H105" i="351" s="1"/>
  <c r="G103" i="351"/>
  <c r="H103" i="351" s="1"/>
  <c r="G101" i="351"/>
  <c r="H101" i="351"/>
  <c r="G100" i="351"/>
  <c r="H100" i="351" s="1"/>
  <c r="G99" i="351"/>
  <c r="H99" i="351"/>
  <c r="G98" i="351"/>
  <c r="H98" i="351"/>
  <c r="G97" i="351"/>
  <c r="H97" i="351"/>
  <c r="G96" i="351"/>
  <c r="H96" i="351" s="1"/>
  <c r="G94" i="351"/>
  <c r="H94" i="351" s="1"/>
  <c r="G91" i="351"/>
  <c r="H91" i="351" s="1"/>
  <c r="G89" i="351"/>
  <c r="H89" i="351" s="1"/>
  <c r="G86" i="351"/>
  <c r="H86" i="351" s="1"/>
  <c r="G83" i="351"/>
  <c r="H83" i="351" s="1"/>
  <c r="G82" i="351"/>
  <c r="H82" i="351" s="1"/>
  <c r="G81" i="351"/>
  <c r="H81" i="351"/>
  <c r="G80" i="351"/>
  <c r="H80" i="351"/>
  <c r="H78" i="351"/>
  <c r="H30" i="133"/>
  <c r="G77" i="351"/>
  <c r="H77" i="351" s="1"/>
  <c r="G76" i="351"/>
  <c r="H76" i="351" s="1"/>
  <c r="M6" i="235"/>
  <c r="L6" i="235"/>
  <c r="K6" i="235"/>
  <c r="G33" i="131"/>
  <c r="G31" i="131"/>
  <c r="G49" i="128"/>
  <c r="H49" i="128" s="1"/>
  <c r="I49" i="128" s="1"/>
  <c r="G41" i="128"/>
  <c r="H41" i="128" s="1"/>
  <c r="I41" i="128" s="1"/>
  <c r="G37" i="128"/>
  <c r="H37" i="128" s="1"/>
  <c r="I37" i="128" s="1"/>
  <c r="G35" i="128"/>
  <c r="H35" i="128" s="1"/>
  <c r="I35" i="128" s="1"/>
  <c r="G31" i="128"/>
  <c r="H31" i="128" s="1"/>
  <c r="I31" i="128" s="1"/>
  <c r="G31" i="129"/>
  <c r="H31" i="129" s="1"/>
  <c r="I31" i="129" s="1"/>
  <c r="G18" i="128"/>
  <c r="G17" i="128"/>
  <c r="G25" i="128"/>
  <c r="H25" i="128" s="1"/>
  <c r="I25" i="128" s="1"/>
  <c r="G23" i="128"/>
  <c r="H23" i="128" s="1"/>
  <c r="I23" i="128" s="1"/>
  <c r="G22" i="129"/>
  <c r="G17" i="129"/>
  <c r="G16" i="129"/>
  <c r="G15" i="129"/>
  <c r="H64" i="128"/>
  <c r="I64" i="128" s="1"/>
  <c r="H66" i="128"/>
  <c r="I66" i="128" s="1"/>
  <c r="G13" i="128"/>
  <c r="H13" i="128" s="1"/>
  <c r="I13" i="128" s="1"/>
  <c r="G12" i="128"/>
  <c r="H12" i="128" s="1"/>
  <c r="I12" i="128" s="1"/>
  <c r="G7" i="128"/>
  <c r="H7" i="128" s="1"/>
  <c r="G11" i="129"/>
  <c r="G10" i="129"/>
  <c r="G9" i="129"/>
  <c r="G6" i="129"/>
  <c r="H6" i="129" s="1"/>
  <c r="I6" i="129" s="1"/>
  <c r="H22" i="129"/>
  <c r="H17" i="129"/>
  <c r="I17" i="129" s="1"/>
  <c r="H16" i="129"/>
  <c r="I16" i="129" s="1"/>
  <c r="H15" i="129"/>
  <c r="I15" i="129"/>
  <c r="H11" i="129"/>
  <c r="I11" i="129"/>
  <c r="H10" i="129"/>
  <c r="I10" i="129"/>
  <c r="H9" i="129"/>
  <c r="I9" i="129"/>
  <c r="H45" i="129"/>
  <c r="I45" i="129" s="1"/>
  <c r="G67" i="126"/>
  <c r="H67" i="126" s="1"/>
  <c r="I67" i="126" s="1"/>
  <c r="G66" i="126"/>
  <c r="H66" i="126"/>
  <c r="I66" i="126"/>
  <c r="G62" i="126"/>
  <c r="H62" i="126" s="1"/>
  <c r="I62" i="126" s="1"/>
  <c r="G61" i="126"/>
  <c r="H61" i="126"/>
  <c r="I61" i="126" s="1"/>
  <c r="G60" i="126"/>
  <c r="H60" i="126"/>
  <c r="I60" i="126" s="1"/>
  <c r="G59" i="126"/>
  <c r="H59" i="126" s="1"/>
  <c r="I59" i="126" s="1"/>
  <c r="G58" i="126"/>
  <c r="H58" i="126" s="1"/>
  <c r="I58" i="126" s="1"/>
  <c r="G55" i="126"/>
  <c r="H55" i="126" s="1"/>
  <c r="I55" i="126" s="1"/>
  <c r="G52" i="126"/>
  <c r="H52" i="126" s="1"/>
  <c r="I52" i="126" s="1"/>
  <c r="G51" i="126"/>
  <c r="H51" i="126" s="1"/>
  <c r="I51" i="126" s="1"/>
  <c r="G49" i="126"/>
  <c r="H49" i="126" s="1"/>
  <c r="I49" i="126" s="1"/>
  <c r="G48" i="126"/>
  <c r="H48" i="126" s="1"/>
  <c r="I48" i="126" s="1"/>
  <c r="G45" i="126"/>
  <c r="H45" i="126" s="1"/>
  <c r="I45" i="126" s="1"/>
  <c r="G44" i="126"/>
  <c r="H44" i="126" s="1"/>
  <c r="I44" i="126" s="1"/>
  <c r="H19" i="253"/>
  <c r="H20" i="253"/>
  <c r="I20" i="253" s="1"/>
  <c r="H18" i="253"/>
  <c r="I18" i="253" s="1"/>
  <c r="J18" i="253" s="1"/>
  <c r="K18" i="253" s="1"/>
  <c r="H17" i="253"/>
  <c r="I17" i="253" s="1"/>
  <c r="J17" i="253" s="1"/>
  <c r="H8" i="253"/>
  <c r="I8" i="253" s="1"/>
  <c r="J8" i="253" s="1"/>
  <c r="K8" i="253" s="1"/>
  <c r="H7" i="253"/>
  <c r="I7" i="253" s="1"/>
  <c r="J7" i="253" s="1"/>
  <c r="K7" i="253" s="1"/>
  <c r="H6" i="253"/>
  <c r="I6" i="253" s="1"/>
  <c r="J6" i="253" s="1"/>
  <c r="K6" i="253" s="1"/>
  <c r="K20" i="253"/>
  <c r="H13" i="253"/>
  <c r="K17" i="253"/>
  <c r="J49" i="255"/>
  <c r="E21" i="253"/>
  <c r="H21" i="253" s="1"/>
  <c r="I21" i="253" s="1"/>
  <c r="J21" i="253" s="1"/>
  <c r="K21" i="253" s="1"/>
  <c r="E8" i="253"/>
  <c r="J38" i="146"/>
  <c r="I38" i="146"/>
  <c r="J34" i="146"/>
  <c r="I34" i="146"/>
  <c r="J33" i="146"/>
  <c r="I33" i="146"/>
  <c r="J43" i="343"/>
  <c r="M8" i="299"/>
  <c r="M7" i="299"/>
  <c r="M6" i="299"/>
  <c r="M5" i="299"/>
  <c r="M26" i="299"/>
  <c r="M25" i="299"/>
  <c r="M24" i="299"/>
  <c r="M23" i="299"/>
  <c r="M47" i="298"/>
  <c r="M46" i="298"/>
  <c r="M45" i="298"/>
  <c r="M44" i="298"/>
  <c r="M43" i="298"/>
  <c r="M40" i="298"/>
  <c r="M39" i="298"/>
  <c r="M37" i="298"/>
  <c r="M36" i="298"/>
  <c r="M35" i="298"/>
  <c r="M34" i="298"/>
  <c r="M33" i="298"/>
  <c r="M31" i="298"/>
  <c r="M30" i="298"/>
  <c r="M29" i="298"/>
  <c r="M24" i="298"/>
  <c r="M23" i="298"/>
  <c r="M22" i="298"/>
  <c r="M21" i="298"/>
  <c r="M20" i="298"/>
  <c r="M17" i="298"/>
  <c r="M16" i="298"/>
  <c r="M14" i="298"/>
  <c r="M13" i="298"/>
  <c r="M12" i="298"/>
  <c r="M11" i="298"/>
  <c r="M10" i="298"/>
  <c r="M8" i="298"/>
  <c r="M7" i="298"/>
  <c r="M6" i="298"/>
  <c r="L24" i="95"/>
  <c r="K24" i="95"/>
  <c r="J24" i="95"/>
  <c r="I24" i="95"/>
  <c r="H24" i="95"/>
  <c r="G24" i="95"/>
  <c r="F24" i="95"/>
  <c r="E24" i="95"/>
  <c r="D24" i="95"/>
  <c r="C24" i="95"/>
  <c r="L49" i="95"/>
  <c r="K49" i="95"/>
  <c r="J49" i="95"/>
  <c r="I49" i="95"/>
  <c r="H49" i="95"/>
  <c r="G49" i="95"/>
  <c r="F49" i="95"/>
  <c r="E49" i="95"/>
  <c r="D49" i="95"/>
  <c r="C49" i="95"/>
  <c r="L45" i="95"/>
  <c r="L44" i="95"/>
  <c r="L43" i="95"/>
  <c r="L41" i="95"/>
  <c r="L42" i="95"/>
  <c r="K45" i="95"/>
  <c r="J45" i="95"/>
  <c r="I45" i="95"/>
  <c r="H45" i="95"/>
  <c r="G45" i="95"/>
  <c r="F45" i="95"/>
  <c r="E45" i="95"/>
  <c r="D45" i="95"/>
  <c r="K44" i="95"/>
  <c r="J44" i="95"/>
  <c r="I44" i="95"/>
  <c r="H44" i="95"/>
  <c r="G44" i="95"/>
  <c r="F44" i="95"/>
  <c r="E44" i="95"/>
  <c r="D44" i="95"/>
  <c r="K43" i="95"/>
  <c r="J43" i="95"/>
  <c r="I43" i="95"/>
  <c r="H43" i="95"/>
  <c r="G43" i="95"/>
  <c r="F43" i="95"/>
  <c r="E43" i="95"/>
  <c r="D43" i="95"/>
  <c r="K42" i="95"/>
  <c r="J42" i="95"/>
  <c r="I42" i="95"/>
  <c r="H42" i="95"/>
  <c r="G42" i="95"/>
  <c r="F42" i="95"/>
  <c r="E42" i="95"/>
  <c r="D42" i="95"/>
  <c r="K41" i="95"/>
  <c r="J41" i="95"/>
  <c r="I41" i="95"/>
  <c r="H41" i="95"/>
  <c r="G41" i="95"/>
  <c r="F41" i="95"/>
  <c r="E41" i="95"/>
  <c r="D41" i="95"/>
  <c r="C45" i="95"/>
  <c r="C44" i="95"/>
  <c r="C43" i="95"/>
  <c r="C42" i="95"/>
  <c r="C41" i="95"/>
  <c r="B45" i="95"/>
  <c r="B44" i="95"/>
  <c r="B43" i="95"/>
  <c r="B42" i="95"/>
  <c r="B41" i="95"/>
  <c r="L38" i="95"/>
  <c r="K38" i="95"/>
  <c r="J38" i="95"/>
  <c r="I38" i="95"/>
  <c r="H38" i="95"/>
  <c r="G38" i="95"/>
  <c r="F38" i="95"/>
  <c r="E38" i="95"/>
  <c r="D38" i="95"/>
  <c r="C38" i="95"/>
  <c r="B38" i="95"/>
  <c r="B37" i="95"/>
  <c r="C37" i="95"/>
  <c r="D37" i="95" s="1"/>
  <c r="E37" i="95" s="1"/>
  <c r="F37" i="95" s="1"/>
  <c r="G37" i="95" s="1"/>
  <c r="H37" i="95" s="1"/>
  <c r="I37" i="95" s="1"/>
  <c r="J37" i="95" s="1"/>
  <c r="K37" i="95" s="1"/>
  <c r="L37" i="95" s="1"/>
  <c r="B36" i="95"/>
  <c r="C36" i="95"/>
  <c r="D36" i="95" s="1"/>
  <c r="E36" i="95" s="1"/>
  <c r="F36" i="95" s="1"/>
  <c r="G36" i="95" s="1"/>
  <c r="H36" i="95" s="1"/>
  <c r="I36" i="95" s="1"/>
  <c r="J36" i="95" s="1"/>
  <c r="K36" i="95" s="1"/>
  <c r="L36" i="95" s="1"/>
  <c r="L20" i="95"/>
  <c r="L19" i="95"/>
  <c r="L18" i="95"/>
  <c r="L17" i="95"/>
  <c r="L16" i="95"/>
  <c r="L12" i="95"/>
  <c r="L10" i="95"/>
  <c r="L9" i="95"/>
  <c r="L6" i="95"/>
  <c r="L5" i="95"/>
  <c r="K20" i="95"/>
  <c r="K19" i="95"/>
  <c r="K18" i="95"/>
  <c r="K17" i="95"/>
  <c r="K16" i="95"/>
  <c r="K15" i="95"/>
  <c r="K14" i="95"/>
  <c r="K13" i="95"/>
  <c r="K12" i="95"/>
  <c r="K11" i="95"/>
  <c r="K10" i="95"/>
  <c r="K9" i="95"/>
  <c r="K6" i="95"/>
  <c r="K5" i="95"/>
  <c r="G20" i="95"/>
  <c r="G19" i="95"/>
  <c r="G18" i="95"/>
  <c r="G17" i="95"/>
  <c r="G16" i="95"/>
  <c r="G15" i="95"/>
  <c r="G14" i="95"/>
  <c r="G13" i="95"/>
  <c r="G12" i="95"/>
  <c r="G11" i="95"/>
  <c r="G10" i="95"/>
  <c r="G9" i="95"/>
  <c r="G6" i="95"/>
  <c r="G5" i="95"/>
  <c r="B20" i="95"/>
  <c r="B19" i="95"/>
  <c r="B18" i="95"/>
  <c r="B17" i="95"/>
  <c r="B16" i="95"/>
  <c r="B15" i="95"/>
  <c r="B14" i="95"/>
  <c r="B13" i="95"/>
  <c r="B12" i="95"/>
  <c r="B11" i="95"/>
  <c r="B10" i="95"/>
  <c r="B9" i="95"/>
  <c r="B6" i="95"/>
  <c r="B5" i="95"/>
  <c r="E20" i="95"/>
  <c r="E19" i="95"/>
  <c r="E18" i="95"/>
  <c r="E17" i="95"/>
  <c r="E16" i="95"/>
  <c r="E15" i="95"/>
  <c r="E14" i="95"/>
  <c r="E13" i="95"/>
  <c r="E12" i="95"/>
  <c r="E11" i="95"/>
  <c r="E10" i="95"/>
  <c r="E9" i="95"/>
  <c r="E6" i="95"/>
  <c r="E5" i="95"/>
  <c r="F20" i="95"/>
  <c r="F19" i="95"/>
  <c r="F18" i="95"/>
  <c r="F17" i="95"/>
  <c r="F16" i="95"/>
  <c r="F15" i="95"/>
  <c r="F14" i="95"/>
  <c r="F13" i="95"/>
  <c r="F12" i="95"/>
  <c r="F11" i="95"/>
  <c r="F10" i="95"/>
  <c r="F9" i="95"/>
  <c r="F6" i="95"/>
  <c r="F5" i="95"/>
  <c r="J20" i="95"/>
  <c r="J19" i="95"/>
  <c r="J18" i="95"/>
  <c r="J17" i="95"/>
  <c r="J16" i="95"/>
  <c r="J15" i="95"/>
  <c r="J14" i="95"/>
  <c r="J13" i="95"/>
  <c r="J12" i="95"/>
  <c r="J11" i="95"/>
  <c r="J10" i="95"/>
  <c r="J9" i="95"/>
  <c r="J6" i="95"/>
  <c r="J5" i="95"/>
  <c r="I20" i="95"/>
  <c r="I19" i="95"/>
  <c r="I18" i="95"/>
  <c r="I17" i="95"/>
  <c r="I16" i="95"/>
  <c r="I15" i="95"/>
  <c r="I14" i="95"/>
  <c r="I13" i="95"/>
  <c r="I12" i="95"/>
  <c r="I11" i="95"/>
  <c r="I10" i="95"/>
  <c r="I9" i="95"/>
  <c r="I6" i="95"/>
  <c r="I5" i="95"/>
  <c r="H20" i="95"/>
  <c r="H19" i="95"/>
  <c r="H18" i="95"/>
  <c r="H17" i="95"/>
  <c r="H16" i="95"/>
  <c r="H15" i="95"/>
  <c r="H14" i="95"/>
  <c r="H13" i="95"/>
  <c r="H12" i="95"/>
  <c r="H11" i="95"/>
  <c r="H10" i="95"/>
  <c r="H9" i="95"/>
  <c r="H6" i="95"/>
  <c r="H5" i="95"/>
  <c r="D20" i="95"/>
  <c r="D19" i="95"/>
  <c r="D18" i="95"/>
  <c r="D17" i="95"/>
  <c r="D16" i="95"/>
  <c r="D15" i="95"/>
  <c r="D14" i="95"/>
  <c r="D13" i="95"/>
  <c r="D12" i="95"/>
  <c r="D11" i="95"/>
  <c r="D10" i="95"/>
  <c r="D9" i="95"/>
  <c r="D6" i="95"/>
  <c r="D5" i="95"/>
  <c r="C20" i="95"/>
  <c r="C19" i="95"/>
  <c r="C18" i="95"/>
  <c r="C17" i="95"/>
  <c r="C16" i="95"/>
  <c r="C15" i="95"/>
  <c r="C14" i="95"/>
  <c r="C13" i="95"/>
  <c r="C12" i="95"/>
  <c r="C11" i="95"/>
  <c r="C10" i="95"/>
  <c r="C9" i="95"/>
  <c r="C6" i="95"/>
  <c r="C5" i="95"/>
  <c r="F25" i="137"/>
  <c r="A40" i="249"/>
  <c r="G7" i="255"/>
  <c r="H7" i="255"/>
  <c r="I7" i="255" s="1"/>
  <c r="G12" i="305"/>
  <c r="H12" i="305" s="1"/>
  <c r="G129" i="255"/>
  <c r="H129" i="255" s="1"/>
  <c r="I129" i="255" s="1"/>
  <c r="G128" i="255"/>
  <c r="H128" i="255" s="1"/>
  <c r="I128" i="255" s="1"/>
  <c r="E67" i="126"/>
  <c r="L6" i="143"/>
  <c r="L10" i="143"/>
  <c r="L8" i="143"/>
  <c r="L7" i="143"/>
  <c r="L15" i="143"/>
  <c r="L14" i="143"/>
  <c r="L13" i="143"/>
  <c r="L12" i="143"/>
  <c r="L9" i="143"/>
  <c r="L5" i="143"/>
  <c r="H38" i="144"/>
  <c r="H39" i="146"/>
  <c r="H24" i="146"/>
  <c r="H22" i="146"/>
  <c r="H18" i="146"/>
  <c r="H11" i="146"/>
  <c r="H10" i="146"/>
  <c r="H9" i="146"/>
  <c r="H8" i="146"/>
  <c r="H7" i="146"/>
  <c r="H6" i="146"/>
  <c r="G41" i="134"/>
  <c r="H41" i="134" s="1"/>
  <c r="G39" i="134"/>
  <c r="H39" i="134" s="1"/>
  <c r="G31" i="134"/>
  <c r="H31" i="134" s="1"/>
  <c r="G22" i="134"/>
  <c r="H22" i="134" s="1"/>
  <c r="G17" i="134"/>
  <c r="H17" i="134" s="1"/>
  <c r="G13" i="134"/>
  <c r="H13" i="134" s="1"/>
  <c r="G11" i="134"/>
  <c r="G8" i="134"/>
  <c r="H8" i="134"/>
  <c r="G63" i="350"/>
  <c r="H63" i="350" s="1"/>
  <c r="G60" i="350"/>
  <c r="H60" i="350" s="1"/>
  <c r="G59" i="350"/>
  <c r="H59" i="350" s="1"/>
  <c r="G31" i="350"/>
  <c r="H31" i="350" s="1"/>
  <c r="G29" i="350"/>
  <c r="H29" i="350" s="1"/>
  <c r="G28" i="350"/>
  <c r="H28" i="350" s="1"/>
  <c r="H27" i="350" s="1"/>
  <c r="H27" i="248" s="1"/>
  <c r="G22" i="350"/>
  <c r="H22" i="350" s="1"/>
  <c r="H21" i="350" s="1"/>
  <c r="G19" i="350"/>
  <c r="H19" i="350" s="1"/>
  <c r="H18" i="350" s="1"/>
  <c r="H24" i="248" s="1"/>
  <c r="G17" i="350"/>
  <c r="H17" i="350" s="1"/>
  <c r="H14" i="350" s="1"/>
  <c r="G11" i="350"/>
  <c r="H11" i="350" s="1"/>
  <c r="H10" i="350" s="1"/>
  <c r="G8" i="350"/>
  <c r="H8" i="350" s="1"/>
  <c r="H7" i="350" s="1"/>
  <c r="G75" i="255"/>
  <c r="H75" i="255" s="1"/>
  <c r="I22" i="129"/>
  <c r="I21" i="129"/>
  <c r="G37" i="131"/>
  <c r="H37" i="131"/>
  <c r="H33" i="131"/>
  <c r="I33" i="131" s="1"/>
  <c r="J65" i="338" s="1"/>
  <c r="H31" i="131"/>
  <c r="I31" i="131"/>
  <c r="H22" i="131"/>
  <c r="I22" i="131" s="1"/>
  <c r="H21" i="131"/>
  <c r="I21" i="131" s="1"/>
  <c r="G24" i="131"/>
  <c r="H24" i="131" s="1"/>
  <c r="I24" i="131" s="1"/>
  <c r="H9" i="131"/>
  <c r="I9" i="131" s="1"/>
  <c r="J24" i="338" s="1"/>
  <c r="H14" i="131"/>
  <c r="I14" i="131" s="1"/>
  <c r="J50" i="338" s="1"/>
  <c r="H13" i="131"/>
  <c r="I13" i="131" s="1"/>
  <c r="J44" i="338" s="1"/>
  <c r="J43" i="338" s="1"/>
  <c r="H12" i="131"/>
  <c r="I12" i="131" s="1"/>
  <c r="H8" i="131"/>
  <c r="I8" i="131" s="1"/>
  <c r="J19" i="338" s="1"/>
  <c r="H7" i="131"/>
  <c r="I7" i="131" s="1"/>
  <c r="J18" i="338" s="1"/>
  <c r="J17" i="338" s="1"/>
  <c r="H6" i="131"/>
  <c r="H29" i="349"/>
  <c r="G29" i="349"/>
  <c r="G38" i="349"/>
  <c r="H38" i="349"/>
  <c r="H35" i="349"/>
  <c r="H17" i="349"/>
  <c r="H22" i="349"/>
  <c r="G39" i="349"/>
  <c r="H39" i="349" s="1"/>
  <c r="G37" i="349"/>
  <c r="H37" i="349" s="1"/>
  <c r="G34" i="349"/>
  <c r="H34" i="349" s="1"/>
  <c r="G32" i="349"/>
  <c r="H32" i="349" s="1"/>
  <c r="H27" i="349" s="1"/>
  <c r="G13" i="349"/>
  <c r="H13" i="349" s="1"/>
  <c r="G12" i="349"/>
  <c r="H12" i="349" s="1"/>
  <c r="H10" i="349" s="1"/>
  <c r="H71" i="248" s="1"/>
  <c r="H8" i="349"/>
  <c r="G63" i="349"/>
  <c r="H63" i="349" s="1"/>
  <c r="G59" i="349"/>
  <c r="H59" i="349" s="1"/>
  <c r="G55" i="349"/>
  <c r="H55" i="349" s="1"/>
  <c r="G54" i="349"/>
  <c r="H54" i="349" s="1"/>
  <c r="G52" i="349"/>
  <c r="H52" i="349" s="1"/>
  <c r="G94" i="255"/>
  <c r="H94" i="255" s="1"/>
  <c r="I94" i="255" s="1"/>
  <c r="G93" i="255"/>
  <c r="H93" i="255" s="1"/>
  <c r="I93" i="255" s="1"/>
  <c r="G92" i="255"/>
  <c r="H92" i="255" s="1"/>
  <c r="I92" i="255" s="1"/>
  <c r="I6" i="131"/>
  <c r="H61" i="128"/>
  <c r="I61" i="128" s="1"/>
  <c r="H65" i="128"/>
  <c r="I65" i="128"/>
  <c r="H18" i="128"/>
  <c r="I18" i="128"/>
  <c r="H17" i="128"/>
  <c r="I17" i="128"/>
  <c r="I7" i="128"/>
  <c r="E22" i="349"/>
  <c r="E63" i="349"/>
  <c r="E54" i="349"/>
  <c r="E52" i="349"/>
  <c r="E60" i="349"/>
  <c r="E61" i="248"/>
  <c r="D61" i="248"/>
  <c r="C61" i="248"/>
  <c r="E56" i="248"/>
  <c r="D56" i="248"/>
  <c r="J327" i="342"/>
  <c r="I327" i="342"/>
  <c r="J316" i="342"/>
  <c r="I316" i="342"/>
  <c r="J305" i="342"/>
  <c r="I305" i="342"/>
  <c r="J294" i="342"/>
  <c r="I294" i="342"/>
  <c r="J283" i="342"/>
  <c r="I283" i="342"/>
  <c r="J272" i="342"/>
  <c r="I272" i="342"/>
  <c r="J261" i="342"/>
  <c r="I261" i="342"/>
  <c r="J250" i="342"/>
  <c r="I250" i="342"/>
  <c r="J239" i="342"/>
  <c r="I239" i="342"/>
  <c r="J228" i="342"/>
  <c r="I228" i="342"/>
  <c r="J217" i="342"/>
  <c r="I217" i="342"/>
  <c r="H6" i="127"/>
  <c r="I6" i="127" s="1"/>
  <c r="E62" i="126"/>
  <c r="E54" i="126"/>
  <c r="E48" i="126"/>
  <c r="E50" i="126"/>
  <c r="E59" i="126"/>
  <c r="E55" i="126"/>
  <c r="E6" i="343"/>
  <c r="E70" i="351"/>
  <c r="E32" i="342"/>
  <c r="E197" i="342"/>
  <c r="E198" i="342"/>
  <c r="E199" i="342"/>
  <c r="E200" i="342"/>
  <c r="E201" i="342"/>
  <c r="E175" i="342"/>
  <c r="E174" i="342"/>
  <c r="E177" i="342"/>
  <c r="E178" i="342"/>
  <c r="E179" i="342"/>
  <c r="E180" i="342"/>
  <c r="E189" i="342"/>
  <c r="E188" i="342"/>
  <c r="E186" i="342"/>
  <c r="E209" i="342"/>
  <c r="E208" i="342"/>
  <c r="E29" i="342"/>
  <c r="E33" i="342"/>
  <c r="E12" i="342"/>
  <c r="E11" i="342"/>
  <c r="E10" i="342"/>
  <c r="E9" i="342"/>
  <c r="E8" i="342"/>
  <c r="E21" i="342"/>
  <c r="E19" i="342"/>
  <c r="E42" i="343"/>
  <c r="E41" i="343"/>
  <c r="E40" i="343"/>
  <c r="E34" i="343"/>
  <c r="E31" i="343"/>
  <c r="E32" i="343"/>
  <c r="E16" i="351"/>
  <c r="E33" i="131"/>
  <c r="E21" i="131"/>
  <c r="E6" i="131"/>
  <c r="E41" i="128"/>
  <c r="E31" i="128"/>
  <c r="E130" i="255"/>
  <c r="E43" i="255"/>
  <c r="E10" i="136"/>
  <c r="E9" i="136"/>
  <c r="E8" i="136"/>
  <c r="E7" i="255"/>
  <c r="E27" i="255"/>
  <c r="E22" i="255"/>
  <c r="E17" i="255"/>
  <c r="E12" i="255"/>
  <c r="F42" i="136"/>
  <c r="F22" i="255"/>
  <c r="A89" i="361"/>
  <c r="B125" i="100"/>
  <c r="S40" i="362"/>
  <c r="S39" i="362"/>
  <c r="B2" i="362"/>
  <c r="A2" i="362"/>
  <c r="B308" i="344"/>
  <c r="C10" i="351"/>
  <c r="E10" i="348"/>
  <c r="J10" i="348"/>
  <c r="L10" i="348"/>
  <c r="E11" i="348"/>
  <c r="J11" i="348"/>
  <c r="L11" i="348"/>
  <c r="E12" i="348"/>
  <c r="J12" i="348"/>
  <c r="L12" i="348"/>
  <c r="E13" i="348"/>
  <c r="J13" i="348"/>
  <c r="L13" i="348"/>
  <c r="E14" i="348"/>
  <c r="J14" i="348"/>
  <c r="L14" i="348"/>
  <c r="E15" i="348"/>
  <c r="J15" i="348"/>
  <c r="L15" i="348"/>
  <c r="E16" i="348"/>
  <c r="J16" i="348"/>
  <c r="L16" i="348"/>
  <c r="E17" i="348"/>
  <c r="J17" i="348"/>
  <c r="L17" i="348"/>
  <c r="E18" i="348"/>
  <c r="J18" i="348"/>
  <c r="L18" i="348"/>
  <c r="E19" i="348"/>
  <c r="J19" i="348"/>
  <c r="L19" i="348"/>
  <c r="I20" i="348"/>
  <c r="E21" i="348"/>
  <c r="J21" i="348"/>
  <c r="L21" i="348"/>
  <c r="E22" i="348"/>
  <c r="J22" i="348"/>
  <c r="L22" i="348"/>
  <c r="E23" i="348"/>
  <c r="J23" i="348"/>
  <c r="L23" i="348"/>
  <c r="E24" i="348"/>
  <c r="J24" i="348"/>
  <c r="L24" i="348"/>
  <c r="E25" i="348"/>
  <c r="J25" i="348"/>
  <c r="L25" i="348"/>
  <c r="E26" i="348"/>
  <c r="J26" i="348"/>
  <c r="L26" i="348"/>
  <c r="E27" i="348"/>
  <c r="J27" i="348"/>
  <c r="L27" i="348"/>
  <c r="E28" i="348"/>
  <c r="J28" i="348"/>
  <c r="L28" i="348"/>
  <c r="E29" i="348"/>
  <c r="J29" i="348"/>
  <c r="L29" i="348"/>
  <c r="E30" i="348"/>
  <c r="J30" i="348"/>
  <c r="L30" i="348"/>
  <c r="E31" i="348"/>
  <c r="J31" i="348"/>
  <c r="L31" i="348"/>
  <c r="E32" i="348"/>
  <c r="J32" i="348"/>
  <c r="L32" i="348"/>
  <c r="E33" i="348"/>
  <c r="J33" i="348"/>
  <c r="L33" i="348"/>
  <c r="E34" i="348"/>
  <c r="J34" i="348"/>
  <c r="L34" i="348"/>
  <c r="E35" i="348"/>
  <c r="J35" i="348"/>
  <c r="L35" i="348"/>
  <c r="E37" i="348"/>
  <c r="J37" i="348"/>
  <c r="L37" i="348"/>
  <c r="E38" i="348"/>
  <c r="J38" i="348"/>
  <c r="L38" i="348"/>
  <c r="E39" i="348"/>
  <c r="J39" i="348"/>
  <c r="L39" i="348"/>
  <c r="E40" i="348"/>
  <c r="J40" i="348"/>
  <c r="L40" i="348"/>
  <c r="E41" i="348"/>
  <c r="J41" i="348"/>
  <c r="L41" i="348"/>
  <c r="E42" i="348"/>
  <c r="J42" i="348"/>
  <c r="L42" i="348"/>
  <c r="E43" i="348"/>
  <c r="J43" i="348"/>
  <c r="L43" i="348"/>
  <c r="E44" i="348"/>
  <c r="J44" i="348"/>
  <c r="L44" i="348"/>
  <c r="E45" i="348"/>
  <c r="J45" i="348"/>
  <c r="L45" i="348"/>
  <c r="E46" i="348"/>
  <c r="J46" i="348"/>
  <c r="L46" i="348"/>
  <c r="E47" i="348"/>
  <c r="J47" i="348"/>
  <c r="L47" i="348"/>
  <c r="E48" i="348"/>
  <c r="J48" i="348"/>
  <c r="L48" i="348"/>
  <c r="E49" i="348"/>
  <c r="J49" i="348"/>
  <c r="L49" i="348"/>
  <c r="E50" i="348"/>
  <c r="J50" i="348"/>
  <c r="L50" i="348"/>
  <c r="E51" i="348"/>
  <c r="J51" i="348"/>
  <c r="L51" i="348"/>
  <c r="E52" i="348"/>
  <c r="J52" i="348"/>
  <c r="L52" i="348"/>
  <c r="E53" i="348"/>
  <c r="J53" i="348"/>
  <c r="L53" i="348"/>
  <c r="I54" i="348"/>
  <c r="E56" i="348"/>
  <c r="J56" i="348"/>
  <c r="L56" i="348"/>
  <c r="E57" i="348"/>
  <c r="J57" i="348"/>
  <c r="L57" i="348"/>
  <c r="E58" i="348"/>
  <c r="J58" i="348"/>
  <c r="L58" i="348"/>
  <c r="E59" i="348"/>
  <c r="J59" i="348"/>
  <c r="L59" i="348"/>
  <c r="E60" i="348"/>
  <c r="J60" i="348"/>
  <c r="L60" i="348"/>
  <c r="E61" i="348"/>
  <c r="J61" i="348"/>
  <c r="L61" i="348"/>
  <c r="E62" i="348"/>
  <c r="J62" i="348"/>
  <c r="L62" i="348"/>
  <c r="E63" i="348"/>
  <c r="J63" i="348"/>
  <c r="L63" i="348"/>
  <c r="E64" i="348"/>
  <c r="J64" i="348"/>
  <c r="L64" i="348"/>
  <c r="E65" i="348"/>
  <c r="J65" i="348"/>
  <c r="L65" i="348"/>
  <c r="E66" i="348"/>
  <c r="J66" i="348"/>
  <c r="L66" i="348"/>
  <c r="E67" i="348"/>
  <c r="J67" i="348"/>
  <c r="L67" i="348"/>
  <c r="E68" i="348"/>
  <c r="J68" i="348"/>
  <c r="L68" i="348"/>
  <c r="E69" i="348"/>
  <c r="J69" i="348"/>
  <c r="L69" i="348"/>
  <c r="E70" i="348"/>
  <c r="J70" i="348"/>
  <c r="L70" i="348"/>
  <c r="E71" i="348"/>
  <c r="J71" i="348"/>
  <c r="L71" i="348"/>
  <c r="E72" i="348"/>
  <c r="J72" i="348"/>
  <c r="L72" i="348"/>
  <c r="E73" i="348"/>
  <c r="J73" i="348"/>
  <c r="L73" i="348"/>
  <c r="E74" i="348"/>
  <c r="J74" i="348"/>
  <c r="L74" i="348"/>
  <c r="E75" i="348"/>
  <c r="J75" i="348"/>
  <c r="L75" i="348"/>
  <c r="I76" i="348"/>
  <c r="B2" i="339"/>
  <c r="D2" i="339"/>
  <c r="D3" i="339"/>
  <c r="E3" i="339"/>
  <c r="A4" i="339"/>
  <c r="B4" i="339"/>
  <c r="D4" i="339"/>
  <c r="E4" i="339"/>
  <c r="F4" i="339"/>
  <c r="G4" i="339"/>
  <c r="H4" i="339"/>
  <c r="A5" i="339"/>
  <c r="B5" i="339"/>
  <c r="E5" i="339"/>
  <c r="F5" i="339"/>
  <c r="G5" i="339"/>
  <c r="A6" i="339"/>
  <c r="B6" i="339"/>
  <c r="E6" i="339"/>
  <c r="F6" i="339"/>
  <c r="G6" i="339"/>
  <c r="A7" i="339"/>
  <c r="B7" i="339"/>
  <c r="E7" i="339"/>
  <c r="F7" i="339"/>
  <c r="G7" i="339"/>
  <c r="A8" i="339"/>
  <c r="B8" i="339"/>
  <c r="E8" i="339"/>
  <c r="F8" i="339"/>
  <c r="G8" i="339"/>
  <c r="A9" i="339"/>
  <c r="B9" i="339"/>
  <c r="C9" i="339"/>
  <c r="E9" i="339"/>
  <c r="F9" i="339"/>
  <c r="G9" i="339"/>
  <c r="A10" i="339"/>
  <c r="C10" i="339"/>
  <c r="E10" i="339"/>
  <c r="F10" i="339"/>
  <c r="G10" i="339"/>
  <c r="A11" i="339"/>
  <c r="B11" i="339"/>
  <c r="E11" i="339"/>
  <c r="F11" i="339"/>
  <c r="G11" i="339"/>
  <c r="A12" i="339"/>
  <c r="B12" i="339"/>
  <c r="E12" i="339"/>
  <c r="F12" i="339"/>
  <c r="G12" i="339"/>
  <c r="A13" i="339"/>
  <c r="B13" i="339"/>
  <c r="D13" i="339"/>
  <c r="F13" i="339"/>
  <c r="G13" i="339"/>
  <c r="A14" i="339"/>
  <c r="B14" i="339"/>
  <c r="D14" i="339"/>
  <c r="F14" i="339"/>
  <c r="G14" i="339"/>
  <c r="A15" i="339"/>
  <c r="B15" i="339"/>
  <c r="D15" i="339"/>
  <c r="F15" i="339"/>
  <c r="G15" i="339"/>
  <c r="A16" i="339"/>
  <c r="B16" i="339"/>
  <c r="D16" i="339"/>
  <c r="E16" i="339"/>
  <c r="F16" i="339"/>
  <c r="G16" i="339"/>
  <c r="A17" i="339"/>
  <c r="B17" i="339"/>
  <c r="E17" i="339"/>
  <c r="F17" i="339"/>
  <c r="G17" i="339"/>
  <c r="A18" i="339"/>
  <c r="B18" i="339"/>
  <c r="D18" i="339"/>
  <c r="F18" i="339"/>
  <c r="B19" i="339"/>
  <c r="D19" i="339"/>
  <c r="E19" i="339"/>
  <c r="F19" i="339"/>
  <c r="G19" i="339"/>
  <c r="B20" i="339"/>
  <c r="C20" i="339"/>
  <c r="E20" i="339"/>
  <c r="F20" i="339"/>
  <c r="G20" i="339"/>
  <c r="C21" i="339"/>
  <c r="D21" i="339"/>
  <c r="F21" i="339"/>
  <c r="C22" i="339"/>
  <c r="D22" i="339"/>
  <c r="E22" i="339"/>
  <c r="F22" i="339"/>
  <c r="G22" i="339"/>
  <c r="B23" i="339"/>
  <c r="E23" i="339"/>
  <c r="F23" i="339"/>
  <c r="G23" i="339"/>
  <c r="B24" i="339"/>
  <c r="E24" i="339"/>
  <c r="F24" i="339"/>
  <c r="G24" i="339"/>
  <c r="B25" i="339"/>
  <c r="E25" i="339"/>
  <c r="F25" i="339"/>
  <c r="G25" i="339"/>
  <c r="B26" i="339"/>
  <c r="D26" i="339"/>
  <c r="F26" i="339"/>
  <c r="G26" i="339"/>
  <c r="B27" i="339"/>
  <c r="D27" i="339"/>
  <c r="E27" i="339"/>
  <c r="F27" i="339"/>
  <c r="G27" i="339"/>
  <c r="B28" i="339"/>
  <c r="E28" i="339"/>
  <c r="F28" i="339"/>
  <c r="G28" i="339"/>
  <c r="E29" i="339"/>
  <c r="F29" i="339"/>
  <c r="G29" i="339"/>
  <c r="E30" i="339"/>
  <c r="F30" i="339"/>
  <c r="G30" i="339"/>
  <c r="E31" i="339"/>
  <c r="F31" i="339"/>
  <c r="G31" i="339"/>
  <c r="D32" i="339"/>
  <c r="F32" i="339"/>
  <c r="G32" i="339"/>
  <c r="F33" i="339"/>
  <c r="G33" i="339"/>
  <c r="F34" i="339"/>
  <c r="F35" i="339"/>
  <c r="F36" i="339"/>
  <c r="F37" i="339"/>
  <c r="A3" i="338"/>
  <c r="B3" i="338"/>
  <c r="D4" i="338"/>
  <c r="E4" i="338"/>
  <c r="F4" i="338"/>
  <c r="G4" i="338"/>
  <c r="H4" i="338"/>
  <c r="I4" i="338"/>
  <c r="A9" i="338"/>
  <c r="D10" i="338"/>
  <c r="E10" i="338"/>
  <c r="F10" i="338"/>
  <c r="G10" i="338"/>
  <c r="H10" i="338"/>
  <c r="I10" i="338"/>
  <c r="J10" i="338"/>
  <c r="K10" i="338"/>
  <c r="L10" i="338"/>
  <c r="M10" i="338"/>
  <c r="D12" i="338"/>
  <c r="E12" i="338"/>
  <c r="F12" i="338"/>
  <c r="G12" i="338"/>
  <c r="H12" i="338"/>
  <c r="I12" i="338"/>
  <c r="J12" i="338"/>
  <c r="K12" i="338"/>
  <c r="L12" i="338"/>
  <c r="M12" i="338"/>
  <c r="D18" i="338"/>
  <c r="E18" i="338"/>
  <c r="F18" i="338"/>
  <c r="G18" i="338"/>
  <c r="H18" i="338"/>
  <c r="I18" i="338"/>
  <c r="K18" i="338"/>
  <c r="L18" i="338"/>
  <c r="M18" i="338"/>
  <c r="D19" i="338"/>
  <c r="E19" i="338"/>
  <c r="F19" i="338"/>
  <c r="G19" i="338"/>
  <c r="G17" i="338"/>
  <c r="H19" i="338"/>
  <c r="I19" i="338"/>
  <c r="K19" i="338"/>
  <c r="K17" i="338"/>
  <c r="L19" i="338"/>
  <c r="M19" i="338"/>
  <c r="D22" i="338"/>
  <c r="E22" i="338"/>
  <c r="F22" i="338"/>
  <c r="G22" i="338"/>
  <c r="H22" i="338"/>
  <c r="I22" i="338"/>
  <c r="J22" i="338"/>
  <c r="K22" i="338"/>
  <c r="L22" i="338"/>
  <c r="M22" i="338"/>
  <c r="D24" i="338"/>
  <c r="E24" i="338"/>
  <c r="F24" i="338"/>
  <c r="G24" i="338"/>
  <c r="H24" i="338"/>
  <c r="I24" i="338"/>
  <c r="K24" i="338"/>
  <c r="L24" i="338"/>
  <c r="M24" i="338"/>
  <c r="D25" i="338"/>
  <c r="E25" i="338"/>
  <c r="F25" i="338"/>
  <c r="G25" i="338"/>
  <c r="H25" i="338"/>
  <c r="I25" i="338"/>
  <c r="J25" i="338"/>
  <c r="K25" i="338"/>
  <c r="L25" i="338"/>
  <c r="M25" i="338"/>
  <c r="D29" i="338"/>
  <c r="D27" i="338"/>
  <c r="E29" i="338"/>
  <c r="E27" i="338"/>
  <c r="F29" i="338"/>
  <c r="F27" i="338"/>
  <c r="G29" i="338"/>
  <c r="G27" i="338"/>
  <c r="H29" i="338"/>
  <c r="H27" i="338"/>
  <c r="I29" i="338"/>
  <c r="I27" i="338"/>
  <c r="J29" i="338"/>
  <c r="J27" i="338"/>
  <c r="K29" i="338"/>
  <c r="K27" i="338"/>
  <c r="L29" i="338"/>
  <c r="L27" i="338"/>
  <c r="M29" i="338"/>
  <c r="M27" i="338"/>
  <c r="D36" i="338"/>
  <c r="E36" i="338"/>
  <c r="F36" i="338"/>
  <c r="G36" i="338"/>
  <c r="H36" i="338"/>
  <c r="I36" i="338"/>
  <c r="J36" i="338"/>
  <c r="K36" i="338"/>
  <c r="L36" i="338"/>
  <c r="M36" i="338"/>
  <c r="A38" i="338"/>
  <c r="A40" i="338"/>
  <c r="D41" i="338"/>
  <c r="E41" i="338"/>
  <c r="F41" i="338"/>
  <c r="G41" i="338"/>
  <c r="H41" i="338"/>
  <c r="I41" i="338"/>
  <c r="J41" i="338"/>
  <c r="K41" i="338"/>
  <c r="L41" i="338"/>
  <c r="M41" i="338"/>
  <c r="A42" i="338"/>
  <c r="D44" i="338"/>
  <c r="D43" i="338" s="1"/>
  <c r="E44" i="338"/>
  <c r="E43" i="338" s="1"/>
  <c r="F44" i="338"/>
  <c r="F43" i="338" s="1"/>
  <c r="G44" i="338"/>
  <c r="G43" i="338" s="1"/>
  <c r="H44" i="338"/>
  <c r="H43" i="338" s="1"/>
  <c r="I44" i="338"/>
  <c r="I43" i="338" s="1"/>
  <c r="K44" i="338"/>
  <c r="K43" i="338" s="1"/>
  <c r="L44" i="338"/>
  <c r="L43" i="338" s="1"/>
  <c r="M44" i="338"/>
  <c r="M43" i="338" s="1"/>
  <c r="A47" i="338"/>
  <c r="D50" i="338"/>
  <c r="E50" i="338"/>
  <c r="F50" i="338"/>
  <c r="G50" i="338"/>
  <c r="H50" i="338"/>
  <c r="I50" i="338"/>
  <c r="K50" i="338"/>
  <c r="L50" i="338"/>
  <c r="M50" i="338"/>
  <c r="A51" i="338"/>
  <c r="D55" i="338"/>
  <c r="E55" i="338"/>
  <c r="F55" i="338"/>
  <c r="G55" i="338"/>
  <c r="H55" i="338"/>
  <c r="I55" i="338"/>
  <c r="J55" i="338"/>
  <c r="K55" i="338"/>
  <c r="L55" i="338"/>
  <c r="M55" i="338"/>
  <c r="D57" i="338"/>
  <c r="E57" i="338"/>
  <c r="F57" i="338"/>
  <c r="G57" i="338"/>
  <c r="H57" i="338"/>
  <c r="I57" i="338"/>
  <c r="J57" i="338"/>
  <c r="K57" i="338"/>
  <c r="L57" i="338"/>
  <c r="M57" i="338"/>
  <c r="A61" i="338"/>
  <c r="D61" i="338"/>
  <c r="E61" i="338"/>
  <c r="F61" i="338"/>
  <c r="G61" i="338"/>
  <c r="H61" i="338"/>
  <c r="I61" i="338"/>
  <c r="J61" i="338"/>
  <c r="K61" i="338"/>
  <c r="L61" i="338"/>
  <c r="M61" i="338"/>
  <c r="D62" i="338"/>
  <c r="E62" i="338"/>
  <c r="F62" i="338"/>
  <c r="G62" i="338"/>
  <c r="H62" i="338"/>
  <c r="I62" i="338"/>
  <c r="J62" i="338"/>
  <c r="K62" i="338"/>
  <c r="L62" i="338"/>
  <c r="M62" i="338"/>
  <c r="D63" i="338"/>
  <c r="E63" i="338"/>
  <c r="F63" i="338"/>
  <c r="G63" i="338"/>
  <c r="H63" i="338"/>
  <c r="I63" i="338"/>
  <c r="K63" i="338"/>
  <c r="L63" i="338"/>
  <c r="M63" i="338"/>
  <c r="D64" i="338"/>
  <c r="E64" i="338"/>
  <c r="F64" i="338"/>
  <c r="G64" i="338"/>
  <c r="H64" i="338"/>
  <c r="I64" i="338"/>
  <c r="K64" i="338"/>
  <c r="L64" i="338"/>
  <c r="M64" i="338"/>
  <c r="A65" i="338"/>
  <c r="D65" i="338"/>
  <c r="E65" i="338"/>
  <c r="F65" i="338"/>
  <c r="G65" i="338"/>
  <c r="H65" i="338"/>
  <c r="I65" i="338"/>
  <c r="K65" i="338"/>
  <c r="L65" i="338"/>
  <c r="M65" i="338"/>
  <c r="A66" i="338"/>
  <c r="A73" i="338"/>
  <c r="D73" i="338"/>
  <c r="E73" i="338"/>
  <c r="F73" i="338"/>
  <c r="G73" i="338"/>
  <c r="H73" i="338"/>
  <c r="I73" i="338"/>
  <c r="J73" i="338"/>
  <c r="K73" i="338"/>
  <c r="L73" i="338"/>
  <c r="M73" i="338"/>
  <c r="H2" i="296"/>
  <c r="I3" i="296"/>
  <c r="J3" i="296"/>
  <c r="A24" i="296"/>
  <c r="B2" i="256"/>
  <c r="P84" i="256"/>
  <c r="Q84" i="256"/>
  <c r="K97" i="256"/>
  <c r="L97" i="256"/>
  <c r="M97" i="256"/>
  <c r="N97" i="256"/>
  <c r="O97" i="256"/>
  <c r="K98" i="256"/>
  <c r="L98" i="256"/>
  <c r="M98" i="256"/>
  <c r="N98" i="256"/>
  <c r="O98" i="256"/>
  <c r="A100" i="256"/>
  <c r="A2" i="294"/>
  <c r="B2" i="294"/>
  <c r="I3" i="294"/>
  <c r="F21" i="294"/>
  <c r="G21" i="294"/>
  <c r="H21" i="294"/>
  <c r="I21" i="294"/>
  <c r="C40" i="294"/>
  <c r="D40" i="294"/>
  <c r="E40" i="294"/>
  <c r="F40" i="294"/>
  <c r="G40" i="294"/>
  <c r="H40" i="294"/>
  <c r="I40" i="294"/>
  <c r="A43" i="294"/>
  <c r="A44" i="294"/>
  <c r="A45" i="294"/>
  <c r="A46" i="294"/>
  <c r="A47" i="294"/>
  <c r="A48" i="294"/>
  <c r="A49" i="294"/>
  <c r="A50" i="294"/>
  <c r="C53" i="294"/>
  <c r="D53" i="294"/>
  <c r="E53" i="294"/>
  <c r="F53" i="294"/>
  <c r="G53" i="294"/>
  <c r="H53" i="294"/>
  <c r="I53" i="294"/>
  <c r="A55" i="294"/>
  <c r="A2" i="358"/>
  <c r="B2" i="358"/>
  <c r="C3" i="358"/>
  <c r="D3" i="358"/>
  <c r="E3" i="358"/>
  <c r="F3" i="358"/>
  <c r="G3" i="358"/>
  <c r="H3" i="358"/>
  <c r="C7" i="358"/>
  <c r="D7" i="358"/>
  <c r="E7" i="358"/>
  <c r="F7" i="358"/>
  <c r="G7" i="358"/>
  <c r="H7" i="358"/>
  <c r="I7" i="358"/>
  <c r="J7" i="358"/>
  <c r="K7" i="358"/>
  <c r="C10" i="358"/>
  <c r="D10" i="358"/>
  <c r="E10" i="358"/>
  <c r="F10" i="358"/>
  <c r="G10" i="358"/>
  <c r="H10" i="358"/>
  <c r="I10" i="358"/>
  <c r="J10" i="358"/>
  <c r="K10" i="358"/>
  <c r="C14" i="358"/>
  <c r="D14" i="358"/>
  <c r="E14" i="358"/>
  <c r="F14" i="358"/>
  <c r="G14" i="358"/>
  <c r="H14" i="358"/>
  <c r="I14" i="358"/>
  <c r="J14" i="358"/>
  <c r="K14" i="358"/>
  <c r="C18" i="358"/>
  <c r="D18" i="358"/>
  <c r="E18" i="358"/>
  <c r="F18" i="358"/>
  <c r="G18" i="358"/>
  <c r="H18" i="358"/>
  <c r="I18" i="358"/>
  <c r="J18" i="358"/>
  <c r="K18" i="358"/>
  <c r="C21" i="358"/>
  <c r="D21" i="358"/>
  <c r="E21" i="358"/>
  <c r="F21" i="358"/>
  <c r="G21" i="358"/>
  <c r="H21" i="358"/>
  <c r="I21" i="358"/>
  <c r="J21" i="358"/>
  <c r="K21" i="358"/>
  <c r="C27" i="358"/>
  <c r="D27" i="358"/>
  <c r="E27" i="358"/>
  <c r="F27" i="358"/>
  <c r="G27" i="358"/>
  <c r="H27" i="358"/>
  <c r="I27" i="358"/>
  <c r="J27" i="358"/>
  <c r="K27" i="358"/>
  <c r="C43" i="358"/>
  <c r="D43" i="358"/>
  <c r="E43" i="358"/>
  <c r="F43" i="358"/>
  <c r="G43" i="358"/>
  <c r="H43" i="358"/>
  <c r="I43" i="358"/>
  <c r="J43" i="358"/>
  <c r="K43" i="358"/>
  <c r="C47" i="358"/>
  <c r="D47" i="358"/>
  <c r="E47" i="358"/>
  <c r="F47" i="358"/>
  <c r="G47" i="358"/>
  <c r="H47" i="358"/>
  <c r="I47" i="358"/>
  <c r="J47" i="358"/>
  <c r="K47" i="358"/>
  <c r="C65" i="358"/>
  <c r="D65" i="358"/>
  <c r="E65" i="358"/>
  <c r="F65" i="358"/>
  <c r="G65" i="358"/>
  <c r="H65" i="358"/>
  <c r="I65" i="358"/>
  <c r="J65" i="358"/>
  <c r="K65" i="358"/>
  <c r="C69" i="358"/>
  <c r="D69" i="358"/>
  <c r="E69" i="358"/>
  <c r="F69" i="358"/>
  <c r="G69" i="358"/>
  <c r="H69" i="358"/>
  <c r="I69" i="358"/>
  <c r="J69" i="358"/>
  <c r="K69" i="358"/>
  <c r="C73" i="358"/>
  <c r="D73" i="358"/>
  <c r="E73" i="358"/>
  <c r="F73" i="358"/>
  <c r="G73" i="358"/>
  <c r="H73" i="358"/>
  <c r="I73" i="358"/>
  <c r="J73" i="358"/>
  <c r="K73" i="358"/>
  <c r="C79" i="358"/>
  <c r="C53" i="358" s="1"/>
  <c r="C51" i="358" s="1"/>
  <c r="D79" i="358"/>
  <c r="D53" i="358"/>
  <c r="D51" i="358" s="1"/>
  <c r="E79" i="358"/>
  <c r="E53" i="358" s="1"/>
  <c r="E51" i="358" s="1"/>
  <c r="F79" i="358"/>
  <c r="F53" i="358"/>
  <c r="F51" i="358" s="1"/>
  <c r="G79" i="358"/>
  <c r="G53" i="358" s="1"/>
  <c r="G51" i="358" s="1"/>
  <c r="H79" i="358"/>
  <c r="H53" i="358"/>
  <c r="H51" i="358" s="1"/>
  <c r="I79" i="358"/>
  <c r="I53" i="358" s="1"/>
  <c r="I51" i="358" s="1"/>
  <c r="J79" i="358"/>
  <c r="J53" i="358"/>
  <c r="J51" i="358" s="1"/>
  <c r="K79" i="358"/>
  <c r="K53" i="358" s="1"/>
  <c r="K51" i="358" s="1"/>
  <c r="A84" i="358"/>
  <c r="A2" i="349"/>
  <c r="B2" i="349"/>
  <c r="C3" i="349"/>
  <c r="D3" i="349"/>
  <c r="E3" i="349"/>
  <c r="F3" i="349"/>
  <c r="G3" i="349"/>
  <c r="H3" i="349"/>
  <c r="C7" i="349"/>
  <c r="D7" i="349"/>
  <c r="E7" i="349"/>
  <c r="E70" i="248"/>
  <c r="F7" i="349"/>
  <c r="G7" i="349"/>
  <c r="H7" i="349"/>
  <c r="I7" i="349"/>
  <c r="I70" i="248" s="1"/>
  <c r="J7" i="349"/>
  <c r="K7" i="349"/>
  <c r="K70" i="248"/>
  <c r="C10" i="349"/>
  <c r="D10" i="349"/>
  <c r="D71" i="248" s="1"/>
  <c r="E10" i="349"/>
  <c r="F10" i="349"/>
  <c r="G10" i="349"/>
  <c r="I10" i="349"/>
  <c r="J10" i="349"/>
  <c r="K10" i="349"/>
  <c r="C14" i="349"/>
  <c r="C72" i="248" s="1"/>
  <c r="D14" i="349"/>
  <c r="E14" i="349"/>
  <c r="F14" i="349"/>
  <c r="G14" i="349"/>
  <c r="H14" i="349"/>
  <c r="I14" i="349"/>
  <c r="J14" i="349"/>
  <c r="K14" i="349"/>
  <c r="C18" i="349"/>
  <c r="D18" i="349"/>
  <c r="E18" i="349"/>
  <c r="F18" i="349"/>
  <c r="G18" i="349"/>
  <c r="H18" i="349"/>
  <c r="I18" i="349"/>
  <c r="J18" i="349"/>
  <c r="K18" i="349"/>
  <c r="C21" i="349"/>
  <c r="D21" i="349"/>
  <c r="E21" i="349"/>
  <c r="F21" i="349"/>
  <c r="G21" i="349"/>
  <c r="H21" i="349"/>
  <c r="I21" i="349"/>
  <c r="J21" i="349"/>
  <c r="K21" i="349"/>
  <c r="C27" i="349"/>
  <c r="D27" i="349"/>
  <c r="E27" i="349"/>
  <c r="F27" i="349"/>
  <c r="G27" i="349"/>
  <c r="I27" i="349"/>
  <c r="J27" i="349"/>
  <c r="K27" i="349"/>
  <c r="C43" i="349"/>
  <c r="D43" i="349"/>
  <c r="E43" i="349"/>
  <c r="F43" i="349"/>
  <c r="G43" i="349"/>
  <c r="H43" i="349"/>
  <c r="I43" i="349"/>
  <c r="J43" i="349"/>
  <c r="K43" i="349"/>
  <c r="C47" i="349"/>
  <c r="D47" i="349"/>
  <c r="E47" i="349"/>
  <c r="F47" i="349"/>
  <c r="G47" i="349"/>
  <c r="H47" i="349"/>
  <c r="I47" i="349"/>
  <c r="J47" i="349"/>
  <c r="K47" i="349"/>
  <c r="C65" i="349"/>
  <c r="D65" i="349"/>
  <c r="E65" i="349"/>
  <c r="F65" i="349"/>
  <c r="G65" i="349"/>
  <c r="H65" i="349"/>
  <c r="I65" i="349"/>
  <c r="J65" i="349"/>
  <c r="K65" i="349"/>
  <c r="C69" i="349"/>
  <c r="D69" i="349"/>
  <c r="E69" i="349"/>
  <c r="F69" i="349"/>
  <c r="G69" i="349"/>
  <c r="H69" i="349"/>
  <c r="I69" i="349"/>
  <c r="J69" i="349"/>
  <c r="K69" i="349"/>
  <c r="C73" i="349"/>
  <c r="D73" i="349"/>
  <c r="E73" i="349"/>
  <c r="F73" i="349"/>
  <c r="G73" i="349"/>
  <c r="H73" i="349"/>
  <c r="I73" i="349"/>
  <c r="J73" i="349"/>
  <c r="K73" i="349"/>
  <c r="C79" i="349"/>
  <c r="C53" i="349" s="1"/>
  <c r="C51" i="349" s="1"/>
  <c r="D79" i="349"/>
  <c r="D53" i="349"/>
  <c r="D51" i="349"/>
  <c r="E79" i="349"/>
  <c r="E53" i="349"/>
  <c r="E51" i="349" s="1"/>
  <c r="E79" i="248" s="1"/>
  <c r="F79" i="349"/>
  <c r="F53" i="349" s="1"/>
  <c r="F51" i="349" s="1"/>
  <c r="G79" i="349"/>
  <c r="G53" i="349"/>
  <c r="G51" i="349" s="1"/>
  <c r="H79" i="349"/>
  <c r="H53" i="349" s="1"/>
  <c r="I79" i="349"/>
  <c r="I53" i="349"/>
  <c r="I51" i="349" s="1"/>
  <c r="I79" i="248" s="1"/>
  <c r="J79" i="349"/>
  <c r="J53" i="349"/>
  <c r="J51" i="349" s="1"/>
  <c r="K79" i="349"/>
  <c r="K53" i="349" s="1"/>
  <c r="K51" i="349" s="1"/>
  <c r="A87" i="349"/>
  <c r="A2" i="350"/>
  <c r="B2" i="350"/>
  <c r="C3" i="350"/>
  <c r="D3" i="350"/>
  <c r="E3" i="350"/>
  <c r="F3" i="350"/>
  <c r="G3" i="350"/>
  <c r="H3" i="350"/>
  <c r="C7" i="350"/>
  <c r="C21" i="248"/>
  <c r="D7" i="350"/>
  <c r="E7" i="350"/>
  <c r="F7" i="350"/>
  <c r="G7" i="350"/>
  <c r="G21" i="248" s="1"/>
  <c r="I7" i="350"/>
  <c r="J7" i="350"/>
  <c r="K7" i="350"/>
  <c r="K21" i="248"/>
  <c r="C10" i="350"/>
  <c r="D10" i="350"/>
  <c r="E10" i="350"/>
  <c r="F10" i="350"/>
  <c r="F22" i="248" s="1"/>
  <c r="G10" i="350"/>
  <c r="I10" i="350"/>
  <c r="J10" i="350"/>
  <c r="J22" i="248"/>
  <c r="K10" i="350"/>
  <c r="C14" i="350"/>
  <c r="D14" i="350"/>
  <c r="E14" i="350"/>
  <c r="E23" i="248" s="1"/>
  <c r="F14" i="350"/>
  <c r="G14" i="350"/>
  <c r="I14" i="350"/>
  <c r="I23" i="248"/>
  <c r="J14" i="350"/>
  <c r="K14" i="350"/>
  <c r="C18" i="350"/>
  <c r="D18" i="350"/>
  <c r="D24" i="248" s="1"/>
  <c r="E18" i="350"/>
  <c r="F18" i="350"/>
  <c r="G18" i="350"/>
  <c r="I18" i="350"/>
  <c r="J18" i="350"/>
  <c r="K18" i="350"/>
  <c r="K24" i="248"/>
  <c r="C21" i="350"/>
  <c r="D21" i="350"/>
  <c r="E21" i="350"/>
  <c r="F21" i="350"/>
  <c r="G21" i="350"/>
  <c r="G25" i="248"/>
  <c r="I21" i="350"/>
  <c r="I25" i="248" s="1"/>
  <c r="J21" i="350"/>
  <c r="J25" i="248" s="1"/>
  <c r="K21" i="350"/>
  <c r="K25" i="248" s="1"/>
  <c r="C27" i="350"/>
  <c r="D27" i="350"/>
  <c r="D27" i="248"/>
  <c r="E27" i="350"/>
  <c r="F27" i="350"/>
  <c r="F27" i="248" s="1"/>
  <c r="G27" i="350"/>
  <c r="I27" i="350"/>
  <c r="J27" i="350"/>
  <c r="K27" i="350"/>
  <c r="C43" i="350"/>
  <c r="C28" i="248"/>
  <c r="D43" i="350"/>
  <c r="E43" i="350"/>
  <c r="E28" i="248" s="1"/>
  <c r="F43" i="350"/>
  <c r="G43" i="350"/>
  <c r="G28" i="248"/>
  <c r="H43" i="350"/>
  <c r="I43" i="350"/>
  <c r="I28" i="248" s="1"/>
  <c r="J43" i="350"/>
  <c r="K43" i="350"/>
  <c r="K28" i="248"/>
  <c r="C47" i="350"/>
  <c r="D47" i="350"/>
  <c r="D29" i="248" s="1"/>
  <c r="E47" i="350"/>
  <c r="F47" i="350"/>
  <c r="F29" i="248"/>
  <c r="G47" i="350"/>
  <c r="H47" i="350"/>
  <c r="H29" i="248"/>
  <c r="I47" i="350"/>
  <c r="J47" i="350"/>
  <c r="K47" i="350"/>
  <c r="K29" i="248"/>
  <c r="C65" i="350"/>
  <c r="C31" i="248"/>
  <c r="D65" i="350"/>
  <c r="E65" i="350"/>
  <c r="E31" i="248"/>
  <c r="F65" i="350"/>
  <c r="G65" i="350"/>
  <c r="G31" i="248"/>
  <c r="H65" i="350"/>
  <c r="I65" i="350"/>
  <c r="I31" i="248" s="1"/>
  <c r="J65" i="350"/>
  <c r="K65" i="350"/>
  <c r="K31" i="248"/>
  <c r="C69" i="350"/>
  <c r="D69" i="350"/>
  <c r="D32" i="248"/>
  <c r="E69" i="350"/>
  <c r="F69" i="350"/>
  <c r="F32" i="248"/>
  <c r="G69" i="350"/>
  <c r="H69" i="350"/>
  <c r="H32" i="248"/>
  <c r="I69" i="350"/>
  <c r="J69" i="350"/>
  <c r="J32" i="248" s="1"/>
  <c r="K69" i="350"/>
  <c r="C73" i="350"/>
  <c r="C33" i="248" s="1"/>
  <c r="D73" i="350"/>
  <c r="E73" i="350"/>
  <c r="E33" i="248"/>
  <c r="F73" i="350"/>
  <c r="G73" i="350"/>
  <c r="H73" i="350"/>
  <c r="I73" i="350"/>
  <c r="I33" i="248" s="1"/>
  <c r="J73" i="350"/>
  <c r="K73" i="350"/>
  <c r="C79" i="350"/>
  <c r="C53" i="350" s="1"/>
  <c r="C51" i="350" s="1"/>
  <c r="C30" i="248" s="1"/>
  <c r="D79" i="350"/>
  <c r="D53" i="350" s="1"/>
  <c r="D51" i="350"/>
  <c r="D30" i="248" s="1"/>
  <c r="E79" i="350"/>
  <c r="E53" i="350" s="1"/>
  <c r="E51" i="350"/>
  <c r="E30" i="248" s="1"/>
  <c r="F79" i="350"/>
  <c r="F53" i="350" s="1"/>
  <c r="F51" i="350" s="1"/>
  <c r="F30" i="248" s="1"/>
  <c r="G79" i="350"/>
  <c r="G53" i="350" s="1"/>
  <c r="G51" i="350" s="1"/>
  <c r="G30" i="248" s="1"/>
  <c r="H79" i="350"/>
  <c r="H53" i="350"/>
  <c r="H51" i="350" s="1"/>
  <c r="H30" i="248" s="1"/>
  <c r="I79" i="350"/>
  <c r="I53" i="350"/>
  <c r="I51" i="350" s="1"/>
  <c r="I30" i="248" s="1"/>
  <c r="J79" i="350"/>
  <c r="J53" i="350"/>
  <c r="J51" i="350" s="1"/>
  <c r="J30" i="248" s="1"/>
  <c r="K79" i="350"/>
  <c r="K53" i="350"/>
  <c r="K51" i="350" s="1"/>
  <c r="K30" i="248" s="1"/>
  <c r="A87" i="350"/>
  <c r="A2" i="134"/>
  <c r="B2" i="134"/>
  <c r="C3" i="134"/>
  <c r="D3" i="134"/>
  <c r="E3" i="134"/>
  <c r="F3" i="134"/>
  <c r="G3" i="134"/>
  <c r="H3" i="134"/>
  <c r="C7" i="134"/>
  <c r="C6" i="248" s="1"/>
  <c r="D7" i="134"/>
  <c r="E7" i="134"/>
  <c r="E6" i="248"/>
  <c r="F7" i="134"/>
  <c r="G7" i="134"/>
  <c r="G6" i="248" s="1"/>
  <c r="H7" i="134"/>
  <c r="I7" i="134"/>
  <c r="I6" i="248"/>
  <c r="J7" i="134"/>
  <c r="K7" i="134"/>
  <c r="K6" i="248" s="1"/>
  <c r="C10" i="134"/>
  <c r="D10" i="134"/>
  <c r="D7" i="248"/>
  <c r="E10" i="134"/>
  <c r="F10" i="134"/>
  <c r="F7" i="248" s="1"/>
  <c r="G10" i="134"/>
  <c r="H10" i="134"/>
  <c r="H7" i="248"/>
  <c r="I10" i="134"/>
  <c r="J10" i="134"/>
  <c r="J7" i="248" s="1"/>
  <c r="K10" i="134"/>
  <c r="C14" i="134"/>
  <c r="C8" i="248"/>
  <c r="D14" i="134"/>
  <c r="E14" i="134"/>
  <c r="F14" i="134"/>
  <c r="G14" i="134"/>
  <c r="H14" i="134"/>
  <c r="I14" i="134"/>
  <c r="J14" i="134"/>
  <c r="K14" i="134"/>
  <c r="K8" i="248"/>
  <c r="C18" i="134"/>
  <c r="D18" i="134"/>
  <c r="D9" i="248" s="1"/>
  <c r="E18" i="134"/>
  <c r="F18" i="134"/>
  <c r="F9" i="248"/>
  <c r="G18" i="134"/>
  <c r="H18" i="134"/>
  <c r="H9" i="248" s="1"/>
  <c r="I18" i="134"/>
  <c r="J18" i="134"/>
  <c r="K18" i="134"/>
  <c r="C21" i="134"/>
  <c r="C10" i="248"/>
  <c r="D21" i="134"/>
  <c r="E21" i="134"/>
  <c r="F21" i="134"/>
  <c r="G21" i="134"/>
  <c r="H21" i="134"/>
  <c r="I21" i="134"/>
  <c r="I10" i="248" s="1"/>
  <c r="J21" i="134"/>
  <c r="K21" i="134"/>
  <c r="C27" i="134"/>
  <c r="D27" i="134"/>
  <c r="D12" i="248"/>
  <c r="D42" i="248"/>
  <c r="E27" i="134"/>
  <c r="F27" i="134"/>
  <c r="G27" i="134"/>
  <c r="H27" i="134"/>
  <c r="H12" i="248" s="1"/>
  <c r="H42" i="248" s="1"/>
  <c r="I27" i="134"/>
  <c r="J27" i="134"/>
  <c r="K27" i="134"/>
  <c r="C43" i="134"/>
  <c r="C13" i="248" s="1"/>
  <c r="D43" i="134"/>
  <c r="E43" i="134"/>
  <c r="F43" i="134"/>
  <c r="G43" i="134"/>
  <c r="G13" i="248"/>
  <c r="H43" i="134"/>
  <c r="I43" i="134"/>
  <c r="J43" i="134"/>
  <c r="K43" i="134"/>
  <c r="K13" i="248" s="1"/>
  <c r="C47" i="134"/>
  <c r="D47" i="134"/>
  <c r="E47" i="134"/>
  <c r="F47" i="134"/>
  <c r="F14" i="248"/>
  <c r="F44" i="248" s="1"/>
  <c r="G47" i="134"/>
  <c r="H47" i="134"/>
  <c r="I47" i="134"/>
  <c r="J47" i="134"/>
  <c r="J14" i="248" s="1"/>
  <c r="K47" i="134"/>
  <c r="C65" i="134"/>
  <c r="D65" i="134"/>
  <c r="E65" i="134"/>
  <c r="F65" i="134"/>
  <c r="F16" i="248"/>
  <c r="G65" i="134"/>
  <c r="H65" i="134"/>
  <c r="I65" i="134"/>
  <c r="I16" i="248"/>
  <c r="I46" i="248"/>
  <c r="J65" i="134"/>
  <c r="J16" i="248"/>
  <c r="K65" i="134"/>
  <c r="C69" i="134"/>
  <c r="D69" i="134"/>
  <c r="D17" i="248"/>
  <c r="E69" i="134"/>
  <c r="F69" i="134"/>
  <c r="G69" i="134"/>
  <c r="H69" i="134"/>
  <c r="H17" i="248" s="1"/>
  <c r="I69" i="134"/>
  <c r="J69" i="134"/>
  <c r="K69" i="134"/>
  <c r="C73" i="134"/>
  <c r="D73" i="134"/>
  <c r="D18" i="248" s="1"/>
  <c r="D48" i="248" s="1"/>
  <c r="E56" i="338" s="1"/>
  <c r="E54" i="338" s="1"/>
  <c r="E53" i="338" s="1"/>
  <c r="E73" i="134"/>
  <c r="F73" i="134"/>
  <c r="G73" i="134"/>
  <c r="G18" i="248"/>
  <c r="H73" i="134"/>
  <c r="H18" i="248"/>
  <c r="I73" i="134"/>
  <c r="J73" i="134"/>
  <c r="K73" i="134"/>
  <c r="K18" i="248"/>
  <c r="C79" i="134"/>
  <c r="C53" i="134" s="1"/>
  <c r="C51" i="134" s="1"/>
  <c r="C15" i="248" s="1"/>
  <c r="D79" i="134"/>
  <c r="D53" i="134" s="1"/>
  <c r="D51" i="134" s="1"/>
  <c r="D15" i="248" s="1"/>
  <c r="E79" i="134"/>
  <c r="E53" i="134"/>
  <c r="E51" i="134" s="1"/>
  <c r="E15" i="248" s="1"/>
  <c r="F79" i="134"/>
  <c r="F53" i="134"/>
  <c r="F51" i="134" s="1"/>
  <c r="F15" i="248" s="1"/>
  <c r="F45" i="248" s="1"/>
  <c r="G79" i="134"/>
  <c r="G53" i="134" s="1"/>
  <c r="G51" i="134" s="1"/>
  <c r="G15" i="248" s="1"/>
  <c r="H79" i="134"/>
  <c r="H53" i="134"/>
  <c r="H51" i="134" s="1"/>
  <c r="H15" i="248" s="1"/>
  <c r="I79" i="134"/>
  <c r="I53" i="134" s="1"/>
  <c r="I51" i="134" s="1"/>
  <c r="I15" i="248" s="1"/>
  <c r="J79" i="134"/>
  <c r="J53" i="134" s="1"/>
  <c r="J51" i="134" s="1"/>
  <c r="J15" i="248" s="1"/>
  <c r="K79" i="134"/>
  <c r="K53" i="134"/>
  <c r="K51" i="134" s="1"/>
  <c r="K15" i="248" s="1"/>
  <c r="A84" i="134"/>
  <c r="A2" i="139"/>
  <c r="B2" i="139"/>
  <c r="D3" i="139"/>
  <c r="O6" i="139"/>
  <c r="O7" i="139"/>
  <c r="O8" i="139"/>
  <c r="C9" i="139"/>
  <c r="D9" i="139"/>
  <c r="E9" i="139"/>
  <c r="F9" i="139"/>
  <c r="G9" i="139"/>
  <c r="H9" i="139"/>
  <c r="I9" i="139"/>
  <c r="J9" i="139"/>
  <c r="K9" i="139"/>
  <c r="L9" i="139"/>
  <c r="M9" i="139"/>
  <c r="N9" i="139"/>
  <c r="O12" i="139"/>
  <c r="O13" i="139"/>
  <c r="O14" i="139"/>
  <c r="C15" i="139"/>
  <c r="D15" i="139"/>
  <c r="E15" i="139"/>
  <c r="F15" i="139"/>
  <c r="G15" i="139"/>
  <c r="H15" i="139"/>
  <c r="I15" i="139"/>
  <c r="J15" i="139"/>
  <c r="K15" i="139"/>
  <c r="L15" i="139"/>
  <c r="M15" i="139"/>
  <c r="N15" i="139"/>
  <c r="O18" i="139"/>
  <c r="O19" i="139"/>
  <c r="O20" i="139"/>
  <c r="C21" i="139"/>
  <c r="D21" i="139"/>
  <c r="E21" i="139"/>
  <c r="E23" i="139"/>
  <c r="F21" i="139"/>
  <c r="G21" i="139"/>
  <c r="H21" i="139"/>
  <c r="I21" i="139"/>
  <c r="I23" i="139" s="1"/>
  <c r="J21" i="139"/>
  <c r="K21" i="139"/>
  <c r="L21" i="139"/>
  <c r="M21" i="139"/>
  <c r="N21" i="139"/>
  <c r="O27" i="139"/>
  <c r="O28" i="139"/>
  <c r="O29" i="139"/>
  <c r="C30" i="139"/>
  <c r="D30" i="139"/>
  <c r="E30" i="139"/>
  <c r="F30" i="139"/>
  <c r="G30" i="139"/>
  <c r="H30" i="139"/>
  <c r="I30" i="139"/>
  <c r="J30" i="139"/>
  <c r="K30" i="139"/>
  <c r="L30" i="139"/>
  <c r="M30" i="139"/>
  <c r="N30" i="139"/>
  <c r="O33" i="139"/>
  <c r="O34" i="139"/>
  <c r="O35" i="139"/>
  <c r="C36" i="139"/>
  <c r="D36" i="139"/>
  <c r="E36" i="139"/>
  <c r="F36" i="139"/>
  <c r="G36" i="139"/>
  <c r="H36" i="139"/>
  <c r="I36" i="139"/>
  <c r="J36" i="139"/>
  <c r="K36" i="139"/>
  <c r="L36" i="139"/>
  <c r="M36" i="139"/>
  <c r="N36" i="139"/>
  <c r="O39" i="139"/>
  <c r="O40" i="139"/>
  <c r="O41" i="139"/>
  <c r="C42" i="139"/>
  <c r="D42" i="139"/>
  <c r="E42" i="139"/>
  <c r="F42" i="139"/>
  <c r="G42" i="139"/>
  <c r="G44" i="139"/>
  <c r="H42" i="139"/>
  <c r="I42" i="139"/>
  <c r="I44" i="139" s="1"/>
  <c r="J42" i="139"/>
  <c r="K42" i="139"/>
  <c r="L42" i="139"/>
  <c r="M42" i="139"/>
  <c r="N42" i="139"/>
  <c r="N44" i="139"/>
  <c r="H44" i="139"/>
  <c r="A45" i="139"/>
  <c r="A25" i="250"/>
  <c r="A2" i="301"/>
  <c r="B2" i="301"/>
  <c r="C3" i="301"/>
  <c r="D3" i="301"/>
  <c r="E3" i="301"/>
  <c r="F3" i="301"/>
  <c r="G3" i="301"/>
  <c r="H3" i="301"/>
  <c r="A5" i="301"/>
  <c r="A6" i="301"/>
  <c r="A7" i="301"/>
  <c r="A8" i="301"/>
  <c r="A24" i="301"/>
  <c r="A9" i="301"/>
  <c r="A10" i="301"/>
  <c r="A11" i="301"/>
  <c r="C11" i="301"/>
  <c r="D11" i="301"/>
  <c r="E11" i="301"/>
  <c r="F11" i="301"/>
  <c r="G11" i="301"/>
  <c r="H11" i="301"/>
  <c r="I11" i="301"/>
  <c r="J11" i="301"/>
  <c r="J20" i="301" s="1"/>
  <c r="K11" i="301"/>
  <c r="A12" i="301"/>
  <c r="A14" i="301"/>
  <c r="A15" i="301"/>
  <c r="A16" i="301"/>
  <c r="A17" i="301"/>
  <c r="A18" i="301"/>
  <c r="A19" i="301"/>
  <c r="C19" i="301"/>
  <c r="D19" i="301"/>
  <c r="E19" i="301"/>
  <c r="F19" i="301"/>
  <c r="F20" i="301" s="1"/>
  <c r="G19" i="301"/>
  <c r="H19" i="301"/>
  <c r="I19" i="301"/>
  <c r="J19" i="301"/>
  <c r="K19" i="301"/>
  <c r="A20" i="301"/>
  <c r="G20" i="301"/>
  <c r="A25" i="301"/>
  <c r="A26" i="301"/>
  <c r="A27" i="301"/>
  <c r="C28" i="301"/>
  <c r="D28" i="301"/>
  <c r="E28" i="301"/>
  <c r="F28" i="301"/>
  <c r="G28" i="301"/>
  <c r="H28" i="301"/>
  <c r="I28" i="301"/>
  <c r="J28" i="301"/>
  <c r="K28" i="301"/>
  <c r="A31" i="301"/>
  <c r="A32" i="301"/>
  <c r="A33" i="301"/>
  <c r="A34" i="301"/>
  <c r="A38" i="301"/>
  <c r="A39" i="301"/>
  <c r="A40" i="301"/>
  <c r="A5" i="95"/>
  <c r="A6" i="95"/>
  <c r="M6" i="95"/>
  <c r="A7" i="95"/>
  <c r="M7" i="95"/>
  <c r="A8" i="95"/>
  <c r="M8" i="95"/>
  <c r="A9" i="95"/>
  <c r="M9" i="95"/>
  <c r="A10" i="95"/>
  <c r="M10" i="95"/>
  <c r="A11" i="95"/>
  <c r="M11" i="95"/>
  <c r="A12" i="95"/>
  <c r="M12" i="95"/>
  <c r="A13" i="95"/>
  <c r="M13" i="95"/>
  <c r="A14" i="95"/>
  <c r="M14" i="95"/>
  <c r="A15" i="95"/>
  <c r="M15" i="95"/>
  <c r="A16" i="95"/>
  <c r="M16" i="95"/>
  <c r="A17" i="95"/>
  <c r="M17" i="95"/>
  <c r="A18" i="95"/>
  <c r="M18" i="95"/>
  <c r="M19" i="95"/>
  <c r="A20" i="95"/>
  <c r="M20" i="95"/>
  <c r="B21" i="95"/>
  <c r="B33" i="95"/>
  <c r="C21" i="95"/>
  <c r="C33" i="95"/>
  <c r="D21" i="95"/>
  <c r="D33" i="95"/>
  <c r="E21" i="95"/>
  <c r="E33" i="95"/>
  <c r="F21" i="95"/>
  <c r="F33" i="95"/>
  <c r="G21" i="95"/>
  <c r="G33" i="95"/>
  <c r="H21" i="95"/>
  <c r="H33" i="95"/>
  <c r="I21" i="95"/>
  <c r="I33" i="95"/>
  <c r="J21" i="95"/>
  <c r="J33" i="95"/>
  <c r="L21" i="95"/>
  <c r="L33" i="95"/>
  <c r="N21" i="95"/>
  <c r="N33" i="95"/>
  <c r="O21" i="95"/>
  <c r="O33" i="95"/>
  <c r="P21" i="95"/>
  <c r="P33" i="95"/>
  <c r="M24" i="95"/>
  <c r="A25" i="95"/>
  <c r="M25" i="95"/>
  <c r="A26" i="95"/>
  <c r="A27" i="95"/>
  <c r="M27" i="95"/>
  <c r="A28" i="95"/>
  <c r="M28" i="95"/>
  <c r="A29" i="95"/>
  <c r="M29" i="95"/>
  <c r="A30" i="95"/>
  <c r="M30" i="95"/>
  <c r="A31" i="95"/>
  <c r="M31" i="95"/>
  <c r="A32" i="95"/>
  <c r="M32" i="95"/>
  <c r="M37" i="95"/>
  <c r="M38" i="95"/>
  <c r="M40" i="95"/>
  <c r="M41" i="95"/>
  <c r="M42" i="95"/>
  <c r="M43" i="95"/>
  <c r="M44" i="95"/>
  <c r="M45" i="95"/>
  <c r="B46" i="95"/>
  <c r="B52" i="95"/>
  <c r="C46" i="95"/>
  <c r="C52" i="95"/>
  <c r="E46" i="95"/>
  <c r="E63" i="95"/>
  <c r="F46" i="95"/>
  <c r="F52" i="95"/>
  <c r="G46" i="95"/>
  <c r="G63" i="95"/>
  <c r="H46" i="95"/>
  <c r="H52" i="95"/>
  <c r="I46" i="95"/>
  <c r="I52" i="95"/>
  <c r="J46" i="95"/>
  <c r="J63" i="95"/>
  <c r="K46" i="95"/>
  <c r="N46" i="95"/>
  <c r="N63" i="95" s="1"/>
  <c r="O46" i="95"/>
  <c r="O52" i="95" s="1"/>
  <c r="P46" i="95"/>
  <c r="A49" i="95"/>
  <c r="M49" i="95"/>
  <c r="A50" i="95"/>
  <c r="M50" i="95"/>
  <c r="A51" i="95"/>
  <c r="M51" i="95"/>
  <c r="G52" i="95"/>
  <c r="J52" i="95"/>
  <c r="A57" i="95"/>
  <c r="I63" i="95"/>
  <c r="O63" i="95"/>
  <c r="A2" i="300"/>
  <c r="B2" i="300"/>
  <c r="A4" i="300"/>
  <c r="A5" i="300"/>
  <c r="G5" i="300"/>
  <c r="J5" i="300"/>
  <c r="L5" i="300"/>
  <c r="M5" i="300"/>
  <c r="A6" i="300"/>
  <c r="O6" i="300"/>
  <c r="N6" i="300" s="1"/>
  <c r="P6" i="300"/>
  <c r="Q6" i="300"/>
  <c r="A7" i="300"/>
  <c r="O7" i="300"/>
  <c r="P7" i="300"/>
  <c r="Q7" i="300"/>
  <c r="A8" i="300"/>
  <c r="O8" i="300"/>
  <c r="N8" i="300"/>
  <c r="P8" i="300"/>
  <c r="Q8" i="300"/>
  <c r="A9" i="300"/>
  <c r="G9" i="300"/>
  <c r="J9" i="300"/>
  <c r="M9" i="300"/>
  <c r="A10" i="300"/>
  <c r="O10" i="300"/>
  <c r="N10" i="300" s="1"/>
  <c r="P10" i="300"/>
  <c r="Q10" i="300"/>
  <c r="A11" i="300"/>
  <c r="O11" i="300"/>
  <c r="N11" i="300"/>
  <c r="P11" i="300"/>
  <c r="Q11" i="300"/>
  <c r="A12" i="300"/>
  <c r="O12" i="300"/>
  <c r="N12" i="300" s="1"/>
  <c r="P12" i="300"/>
  <c r="Q12" i="300"/>
  <c r="A13" i="300"/>
  <c r="O13" i="300"/>
  <c r="P13" i="300"/>
  <c r="Q13" i="300"/>
  <c r="A14" i="300"/>
  <c r="O14" i="300"/>
  <c r="N14" i="300"/>
  <c r="P14" i="300"/>
  <c r="Q14" i="300"/>
  <c r="A15" i="300"/>
  <c r="G15" i="300"/>
  <c r="J15" i="300"/>
  <c r="M15" i="300"/>
  <c r="A16" i="300"/>
  <c r="O16" i="300"/>
  <c r="N16" i="300" s="1"/>
  <c r="P16" i="300"/>
  <c r="Q16" i="300"/>
  <c r="A17" i="300"/>
  <c r="O17" i="300"/>
  <c r="P17" i="300"/>
  <c r="Q17" i="300"/>
  <c r="A18" i="300"/>
  <c r="O18" i="300"/>
  <c r="N18" i="300"/>
  <c r="P18" i="300"/>
  <c r="Q18" i="300"/>
  <c r="A19" i="300"/>
  <c r="C19" i="300"/>
  <c r="D19" i="300"/>
  <c r="E19" i="300"/>
  <c r="F19" i="300"/>
  <c r="G19" i="300"/>
  <c r="H19" i="300"/>
  <c r="I19" i="300"/>
  <c r="J19" i="300"/>
  <c r="K19" i="300"/>
  <c r="L19" i="300"/>
  <c r="M19" i="300"/>
  <c r="A20" i="300"/>
  <c r="O20" i="300"/>
  <c r="N20" i="300" s="1"/>
  <c r="P20" i="300"/>
  <c r="Q20" i="300"/>
  <c r="A21" i="300"/>
  <c r="O21" i="300"/>
  <c r="N21" i="300"/>
  <c r="P21" i="300"/>
  <c r="Q21" i="300"/>
  <c r="A22" i="300"/>
  <c r="O22" i="300"/>
  <c r="N22" i="300" s="1"/>
  <c r="P22" i="300"/>
  <c r="Q22" i="300"/>
  <c r="A23" i="300"/>
  <c r="O23" i="300"/>
  <c r="N23" i="300"/>
  <c r="P23" i="300"/>
  <c r="Q23" i="300"/>
  <c r="A24" i="300"/>
  <c r="O24" i="300"/>
  <c r="P24" i="300"/>
  <c r="Q24" i="300"/>
  <c r="A25" i="300"/>
  <c r="A26" i="300"/>
  <c r="A28" i="300"/>
  <c r="A2" i="140"/>
  <c r="B2" i="140"/>
  <c r="C20" i="140"/>
  <c r="D20" i="140"/>
  <c r="E20" i="140"/>
  <c r="F20" i="140"/>
  <c r="G20" i="140"/>
  <c r="H20" i="140"/>
  <c r="I20" i="140"/>
  <c r="J20" i="140"/>
  <c r="K20" i="140"/>
  <c r="L20" i="140"/>
  <c r="M20" i="140"/>
  <c r="A42" i="140"/>
  <c r="A2" i="298"/>
  <c r="B2" i="298"/>
  <c r="A4" i="298"/>
  <c r="A5" i="298"/>
  <c r="M5" i="298"/>
  <c r="A6" i="298"/>
  <c r="A7" i="298"/>
  <c r="A8" i="298"/>
  <c r="A9" i="298"/>
  <c r="M9" i="298"/>
  <c r="A10" i="298"/>
  <c r="A11" i="298"/>
  <c r="A12" i="298"/>
  <c r="A13" i="298"/>
  <c r="A14" i="298"/>
  <c r="A15" i="298"/>
  <c r="M15" i="298"/>
  <c r="A16" i="298"/>
  <c r="A17" i="298"/>
  <c r="A18" i="298"/>
  <c r="A19" i="298"/>
  <c r="M19" i="298"/>
  <c r="A20" i="298"/>
  <c r="A21" i="298"/>
  <c r="A22" i="298"/>
  <c r="A23" i="298"/>
  <c r="A24" i="298"/>
  <c r="A27" i="298"/>
  <c r="M28" i="298"/>
  <c r="M32" i="298"/>
  <c r="M38" i="298"/>
  <c r="M42" i="298"/>
  <c r="A50" i="298"/>
  <c r="A52" i="298"/>
  <c r="O52" i="298"/>
  <c r="N52" i="298" s="1"/>
  <c r="P52" i="298"/>
  <c r="Q52" i="298"/>
  <c r="A53" i="298"/>
  <c r="A54" i="298"/>
  <c r="A2" i="299"/>
  <c r="B2" i="299"/>
  <c r="A4" i="299"/>
  <c r="A20" i="299"/>
  <c r="A22" i="299"/>
  <c r="A38" i="299"/>
  <c r="M38" i="299"/>
  <c r="A40" i="299"/>
  <c r="A44" i="299"/>
  <c r="O44" i="299"/>
  <c r="N44" i="299"/>
  <c r="P44" i="299"/>
  <c r="Q44" i="299"/>
  <c r="A45" i="299"/>
  <c r="A46" i="299"/>
  <c r="A2" i="137"/>
  <c r="B2" i="137"/>
  <c r="A4" i="137"/>
  <c r="A5" i="137"/>
  <c r="A6" i="137"/>
  <c r="O6" i="137"/>
  <c r="P6" i="137"/>
  <c r="F6" i="137"/>
  <c r="Q6" i="137"/>
  <c r="G6" i="137"/>
  <c r="A7" i="137"/>
  <c r="A8" i="137"/>
  <c r="A9" i="137"/>
  <c r="A10" i="137"/>
  <c r="A11" i="137"/>
  <c r="O11" i="137"/>
  <c r="P11" i="137"/>
  <c r="F11" i="137"/>
  <c r="Q11" i="137"/>
  <c r="G11" i="137"/>
  <c r="A12" i="137"/>
  <c r="O12" i="137"/>
  <c r="P12" i="137"/>
  <c r="F12" i="137"/>
  <c r="Q12" i="137"/>
  <c r="G12" i="137"/>
  <c r="A13" i="137"/>
  <c r="O13" i="137"/>
  <c r="P13" i="137"/>
  <c r="F13" i="137"/>
  <c r="Q13" i="137"/>
  <c r="G13" i="137"/>
  <c r="A14" i="137"/>
  <c r="O14" i="137"/>
  <c r="P14" i="137"/>
  <c r="F14" i="137"/>
  <c r="Q14" i="137"/>
  <c r="G14" i="137"/>
  <c r="A15" i="137"/>
  <c r="O15" i="137"/>
  <c r="P15" i="137"/>
  <c r="F15" i="137"/>
  <c r="Q15" i="137"/>
  <c r="G15" i="137"/>
  <c r="A16" i="137"/>
  <c r="O16" i="137"/>
  <c r="P16" i="137"/>
  <c r="F16" i="137"/>
  <c r="Q16" i="137"/>
  <c r="G16" i="137"/>
  <c r="A17" i="137"/>
  <c r="O17" i="137"/>
  <c r="P17" i="137"/>
  <c r="F17" i="137"/>
  <c r="Q17" i="137"/>
  <c r="G17" i="137"/>
  <c r="A18" i="137"/>
  <c r="O18" i="137"/>
  <c r="P18" i="137"/>
  <c r="F18" i="137" s="1"/>
  <c r="Q18" i="137"/>
  <c r="G18" i="137"/>
  <c r="A19" i="137"/>
  <c r="O19" i="137"/>
  <c r="P19" i="137"/>
  <c r="F19" i="137" s="1"/>
  <c r="Q19" i="137"/>
  <c r="G19" i="137" s="1"/>
  <c r="A20" i="137"/>
  <c r="A21" i="137"/>
  <c r="O21" i="137"/>
  <c r="P21" i="137"/>
  <c r="Q21" i="137"/>
  <c r="A22" i="137"/>
  <c r="A24" i="137"/>
  <c r="A25" i="137"/>
  <c r="A26" i="137"/>
  <c r="O26" i="137"/>
  <c r="P26" i="137"/>
  <c r="Q26" i="137"/>
  <c r="A27" i="137"/>
  <c r="O27" i="137"/>
  <c r="P27" i="137"/>
  <c r="Q27" i="137"/>
  <c r="A28" i="137"/>
  <c r="A29" i="137"/>
  <c r="O29" i="137"/>
  <c r="P29" i="137"/>
  <c r="Q29" i="137"/>
  <c r="A30" i="137"/>
  <c r="A31" i="137"/>
  <c r="O31" i="137"/>
  <c r="P31" i="137"/>
  <c r="Q31" i="137"/>
  <c r="A32" i="137"/>
  <c r="A33" i="137"/>
  <c r="A34" i="137"/>
  <c r="A35" i="137"/>
  <c r="O35" i="137"/>
  <c r="N35" i="137"/>
  <c r="P35" i="137"/>
  <c r="Q35" i="137"/>
  <c r="A36" i="137"/>
  <c r="A38" i="137"/>
  <c r="A39" i="137"/>
  <c r="O39" i="137"/>
  <c r="N39" i="137"/>
  <c r="P39" i="137"/>
  <c r="Q39" i="137"/>
  <c r="A40" i="137"/>
  <c r="A41" i="137"/>
  <c r="O41" i="137"/>
  <c r="N41" i="137"/>
  <c r="P41" i="137"/>
  <c r="Q41" i="137"/>
  <c r="A42" i="137"/>
  <c r="A43" i="137"/>
  <c r="A42" i="299"/>
  <c r="O43" i="137"/>
  <c r="O42" i="299"/>
  <c r="N42" i="299" s="1"/>
  <c r="P43" i="137"/>
  <c r="P42" i="299" s="1"/>
  <c r="Q43" i="137"/>
  <c r="Q42" i="299" s="1"/>
  <c r="A44" i="137"/>
  <c r="A43" i="299" s="1"/>
  <c r="O44" i="137"/>
  <c r="O43" i="299" s="1"/>
  <c r="N43" i="299" s="1"/>
  <c r="P44" i="137"/>
  <c r="P43" i="299"/>
  <c r="Q44" i="137"/>
  <c r="Q43" i="299"/>
  <c r="A45" i="137"/>
  <c r="O45" i="137"/>
  <c r="N45" i="137" s="1"/>
  <c r="P45" i="137"/>
  <c r="Q45" i="137"/>
  <c r="A46" i="137"/>
  <c r="A47" i="137"/>
  <c r="B2" i="148"/>
  <c r="C10" i="148"/>
  <c r="D10" i="148"/>
  <c r="E10" i="148"/>
  <c r="F10" i="148"/>
  <c r="G10" i="148"/>
  <c r="H10" i="148"/>
  <c r="I10" i="148"/>
  <c r="J10" i="148"/>
  <c r="K10" i="148"/>
  <c r="C20" i="148"/>
  <c r="D20" i="148"/>
  <c r="E20" i="148"/>
  <c r="F20" i="148"/>
  <c r="G20" i="148"/>
  <c r="H20" i="148"/>
  <c r="I20" i="148"/>
  <c r="J20" i="148"/>
  <c r="K20" i="148"/>
  <c r="C36" i="148"/>
  <c r="D36" i="148"/>
  <c r="E36" i="148"/>
  <c r="F36" i="148"/>
  <c r="G36" i="148"/>
  <c r="G37" i="148" s="1"/>
  <c r="H36" i="148"/>
  <c r="I36" i="148"/>
  <c r="I37" i="148"/>
  <c r="J36" i="148"/>
  <c r="K36" i="148"/>
  <c r="K37" i="148" s="1"/>
  <c r="A43" i="148"/>
  <c r="B2" i="145"/>
  <c r="I5" i="145"/>
  <c r="I6" i="145"/>
  <c r="I7" i="145"/>
  <c r="I8" i="145"/>
  <c r="I9" i="145"/>
  <c r="I10" i="145"/>
  <c r="A11" i="145"/>
  <c r="C11" i="145"/>
  <c r="D11" i="145"/>
  <c r="E11" i="145"/>
  <c r="F11" i="145"/>
  <c r="I14" i="145"/>
  <c r="I15" i="145"/>
  <c r="I16" i="145"/>
  <c r="I17" i="145"/>
  <c r="I18" i="145"/>
  <c r="I19" i="145"/>
  <c r="I22" i="145"/>
  <c r="I23" i="145"/>
  <c r="I24" i="145"/>
  <c r="I25" i="145"/>
  <c r="I26" i="145"/>
  <c r="I27" i="145"/>
  <c r="I28" i="145"/>
  <c r="I29" i="145"/>
  <c r="I30" i="145"/>
  <c r="I31" i="145"/>
  <c r="I32" i="145"/>
  <c r="I33" i="145"/>
  <c r="I34" i="145"/>
  <c r="A35" i="145"/>
  <c r="C35" i="145"/>
  <c r="D35" i="145"/>
  <c r="E35" i="145"/>
  <c r="F35" i="145"/>
  <c r="G35" i="145"/>
  <c r="I39" i="145"/>
  <c r="I40" i="145"/>
  <c r="I41" i="145"/>
  <c r="I42" i="145"/>
  <c r="I43" i="145"/>
  <c r="I44" i="145"/>
  <c r="I45" i="145"/>
  <c r="I46" i="145"/>
  <c r="I47" i="145"/>
  <c r="I48" i="145"/>
  <c r="I49" i="145"/>
  <c r="I50" i="145"/>
  <c r="I51" i="145"/>
  <c r="I52" i="145"/>
  <c r="I53" i="145"/>
  <c r="I54" i="145"/>
  <c r="C55" i="145"/>
  <c r="D55" i="145"/>
  <c r="E55" i="145"/>
  <c r="F55" i="145"/>
  <c r="G55" i="145"/>
  <c r="A59" i="145"/>
  <c r="B2" i="146"/>
  <c r="C3" i="146"/>
  <c r="D3" i="146"/>
  <c r="E3" i="146"/>
  <c r="F3" i="146"/>
  <c r="G3" i="146"/>
  <c r="H3" i="146"/>
  <c r="C13" i="146"/>
  <c r="D13" i="146"/>
  <c r="E13" i="146"/>
  <c r="F13" i="146"/>
  <c r="G13" i="146"/>
  <c r="H13" i="146"/>
  <c r="I13" i="146"/>
  <c r="J13" i="146"/>
  <c r="K13" i="146"/>
  <c r="C29" i="146"/>
  <c r="D29" i="146"/>
  <c r="E29" i="146"/>
  <c r="F29" i="146"/>
  <c r="F30" i="146"/>
  <c r="G29" i="146"/>
  <c r="H29" i="146"/>
  <c r="I29" i="146"/>
  <c r="J29" i="146"/>
  <c r="J30" i="146" s="1"/>
  <c r="K29" i="146"/>
  <c r="A30" i="146"/>
  <c r="B30" i="146"/>
  <c r="C45" i="146"/>
  <c r="D45" i="146"/>
  <c r="E45" i="146"/>
  <c r="F45" i="146"/>
  <c r="G45" i="146"/>
  <c r="H45" i="146"/>
  <c r="I45" i="146"/>
  <c r="J45" i="146"/>
  <c r="K45" i="146"/>
  <c r="A46" i="146"/>
  <c r="B46" i="146"/>
  <c r="C65" i="146"/>
  <c r="D65" i="146"/>
  <c r="E65" i="146"/>
  <c r="F65" i="146"/>
  <c r="G65" i="146"/>
  <c r="H65" i="146"/>
  <c r="I65" i="146"/>
  <c r="J65" i="146"/>
  <c r="J66" i="146" s="1"/>
  <c r="K65" i="146"/>
  <c r="K66" i="146" s="1"/>
  <c r="A66" i="146"/>
  <c r="B66" i="146"/>
  <c r="C81" i="146"/>
  <c r="D81" i="146"/>
  <c r="E81" i="146"/>
  <c r="E82" i="146" s="1"/>
  <c r="F81" i="146"/>
  <c r="G81" i="146"/>
  <c r="H81" i="146"/>
  <c r="H82" i="146" s="1"/>
  <c r="I81" i="146"/>
  <c r="J81" i="146"/>
  <c r="K81" i="146"/>
  <c r="A82" i="146"/>
  <c r="B82" i="146"/>
  <c r="C97" i="146"/>
  <c r="D97" i="146"/>
  <c r="D98" i="146"/>
  <c r="E97" i="146"/>
  <c r="F97" i="146"/>
  <c r="G97" i="146"/>
  <c r="H97" i="146"/>
  <c r="I97" i="146"/>
  <c r="J97" i="146"/>
  <c r="K97" i="146"/>
  <c r="K98" i="146"/>
  <c r="A98" i="146"/>
  <c r="B98" i="146"/>
  <c r="E100" i="146"/>
  <c r="A103" i="146"/>
  <c r="B103" i="146"/>
  <c r="A105" i="146"/>
  <c r="A2" i="305"/>
  <c r="B2" i="305"/>
  <c r="C3" i="305"/>
  <c r="D3" i="305"/>
  <c r="E3" i="305"/>
  <c r="F3" i="305"/>
  <c r="G3" i="305"/>
  <c r="H3" i="305"/>
  <c r="I3" i="305"/>
  <c r="C9" i="305"/>
  <c r="D9" i="305"/>
  <c r="E9" i="305"/>
  <c r="F9" i="305"/>
  <c r="G9" i="305"/>
  <c r="H9" i="305"/>
  <c r="I9" i="305"/>
  <c r="J9" i="305"/>
  <c r="K9" i="305"/>
  <c r="L9" i="305"/>
  <c r="C15" i="305"/>
  <c r="D15" i="305"/>
  <c r="E15" i="305"/>
  <c r="F15" i="305"/>
  <c r="G15" i="305"/>
  <c r="H15" i="305"/>
  <c r="I15" i="305"/>
  <c r="J15" i="305"/>
  <c r="K15" i="305"/>
  <c r="L15" i="305"/>
  <c r="A18" i="305"/>
  <c r="C21" i="305"/>
  <c r="D21" i="305"/>
  <c r="E21" i="305"/>
  <c r="F21" i="305"/>
  <c r="G21" i="305"/>
  <c r="H21" i="305"/>
  <c r="I21" i="305"/>
  <c r="J21" i="305"/>
  <c r="K21" i="305"/>
  <c r="L21" i="305"/>
  <c r="A24" i="305"/>
  <c r="C27" i="305"/>
  <c r="D27" i="305"/>
  <c r="E27" i="305"/>
  <c r="F27" i="305"/>
  <c r="G27" i="305"/>
  <c r="H27" i="305"/>
  <c r="I27" i="305"/>
  <c r="J27" i="305"/>
  <c r="K27" i="305"/>
  <c r="L27" i="305"/>
  <c r="A30" i="305"/>
  <c r="C33" i="305"/>
  <c r="D33" i="305"/>
  <c r="E33" i="305"/>
  <c r="F33" i="305"/>
  <c r="G33" i="305"/>
  <c r="H33" i="305"/>
  <c r="I33" i="305"/>
  <c r="J33" i="305"/>
  <c r="K33" i="305"/>
  <c r="L33" i="305"/>
  <c r="C40" i="305"/>
  <c r="D40" i="305"/>
  <c r="E40" i="305"/>
  <c r="F40" i="305"/>
  <c r="G40" i="305"/>
  <c r="H40" i="305"/>
  <c r="I40" i="305"/>
  <c r="J40" i="305"/>
  <c r="K40" i="305"/>
  <c r="L40" i="305"/>
  <c r="A43" i="305"/>
  <c r="C46" i="305"/>
  <c r="D46" i="305"/>
  <c r="E46" i="305"/>
  <c r="F46" i="305"/>
  <c r="G46" i="305"/>
  <c r="H46" i="305"/>
  <c r="I46" i="305"/>
  <c r="J46" i="305"/>
  <c r="K46" i="305"/>
  <c r="L46" i="305"/>
  <c r="A49" i="305"/>
  <c r="C52" i="305"/>
  <c r="D52" i="305"/>
  <c r="E52" i="305"/>
  <c r="F52" i="305"/>
  <c r="G52" i="305"/>
  <c r="H52" i="305"/>
  <c r="I52" i="305"/>
  <c r="J52" i="305"/>
  <c r="K52" i="305"/>
  <c r="L52" i="305"/>
  <c r="A55" i="305"/>
  <c r="C58" i="305"/>
  <c r="D58" i="305"/>
  <c r="E58" i="305"/>
  <c r="F58" i="305"/>
  <c r="G58" i="305"/>
  <c r="H58" i="305"/>
  <c r="I58" i="305"/>
  <c r="J58" i="305"/>
  <c r="K58" i="305"/>
  <c r="L58" i="305"/>
  <c r="A61" i="305"/>
  <c r="C64" i="305"/>
  <c r="D64" i="305"/>
  <c r="E64" i="305"/>
  <c r="F64" i="305"/>
  <c r="G64" i="305"/>
  <c r="H64" i="305"/>
  <c r="I64" i="305"/>
  <c r="J64" i="305"/>
  <c r="K64" i="305"/>
  <c r="L64" i="305"/>
  <c r="A67" i="305"/>
  <c r="A2" i="316"/>
  <c r="B2" i="316"/>
  <c r="C3" i="316"/>
  <c r="D3" i="316"/>
  <c r="E3" i="316"/>
  <c r="F3" i="316"/>
  <c r="G3" i="316"/>
  <c r="H3" i="316"/>
  <c r="A5" i="316"/>
  <c r="A29" i="316" s="1"/>
  <c r="C8" i="316"/>
  <c r="D8" i="316"/>
  <c r="E8" i="316"/>
  <c r="F8" i="316"/>
  <c r="G8" i="316"/>
  <c r="H8" i="316"/>
  <c r="I8" i="316"/>
  <c r="J8" i="316"/>
  <c r="K8" i="316"/>
  <c r="A12" i="316"/>
  <c r="A17" i="316" s="1"/>
  <c r="A13" i="316"/>
  <c r="C13" i="316"/>
  <c r="D13" i="316"/>
  <c r="E13" i="316"/>
  <c r="F13" i="316"/>
  <c r="G13" i="316"/>
  <c r="H13" i="316"/>
  <c r="I13" i="316"/>
  <c r="J13" i="316"/>
  <c r="K13" i="316"/>
  <c r="A14" i="316"/>
  <c r="A24" i="316"/>
  <c r="A16" i="316"/>
  <c r="C18" i="316"/>
  <c r="D18" i="316"/>
  <c r="E18" i="316"/>
  <c r="F18" i="316"/>
  <c r="G18" i="316"/>
  <c r="H18" i="316"/>
  <c r="I18" i="316"/>
  <c r="J18" i="316"/>
  <c r="K18" i="316"/>
  <c r="A21" i="316"/>
  <c r="A22" i="316"/>
  <c r="C23" i="316"/>
  <c r="D23" i="316"/>
  <c r="E23" i="316"/>
  <c r="F23" i="316"/>
  <c r="G23" i="316"/>
  <c r="H23" i="316"/>
  <c r="I23" i="316"/>
  <c r="J23" i="316"/>
  <c r="K23" i="316"/>
  <c r="C26" i="316"/>
  <c r="D26" i="316"/>
  <c r="E26" i="316"/>
  <c r="F26" i="316"/>
  <c r="G26" i="316"/>
  <c r="H26" i="316"/>
  <c r="I26" i="316"/>
  <c r="J26" i="316"/>
  <c r="K26" i="316"/>
  <c r="C32" i="316"/>
  <c r="D32" i="316"/>
  <c r="E32" i="316"/>
  <c r="F32" i="316"/>
  <c r="G32" i="316"/>
  <c r="H32" i="316"/>
  <c r="I32" i="316"/>
  <c r="J32" i="316"/>
  <c r="K32" i="316"/>
  <c r="A36" i="316"/>
  <c r="A37" i="316"/>
  <c r="A47" i="316" s="1"/>
  <c r="C37" i="316"/>
  <c r="D37" i="316"/>
  <c r="E37" i="316"/>
  <c r="F37" i="316"/>
  <c r="G37" i="316"/>
  <c r="H37" i="316"/>
  <c r="I37" i="316"/>
  <c r="J37" i="316"/>
  <c r="K37" i="316"/>
  <c r="A38" i="316"/>
  <c r="A40" i="316"/>
  <c r="C42" i="316"/>
  <c r="D42" i="316"/>
  <c r="E42" i="316"/>
  <c r="F42" i="316"/>
  <c r="G42" i="316"/>
  <c r="H42" i="316"/>
  <c r="I42" i="316"/>
  <c r="J42" i="316"/>
  <c r="K42" i="316"/>
  <c r="A45" i="316"/>
  <c r="C47" i="316"/>
  <c r="D47" i="316"/>
  <c r="E47" i="316"/>
  <c r="F47" i="316"/>
  <c r="G47" i="316"/>
  <c r="H47" i="316"/>
  <c r="I47" i="316"/>
  <c r="J47" i="316"/>
  <c r="K47" i="316"/>
  <c r="C50" i="316"/>
  <c r="D50" i="316"/>
  <c r="E50" i="316"/>
  <c r="F50" i="316"/>
  <c r="G50" i="316"/>
  <c r="H50" i="316"/>
  <c r="I50" i="316"/>
  <c r="J50" i="316"/>
  <c r="K50" i="316"/>
  <c r="A54" i="316"/>
  <c r="A2" i="249"/>
  <c r="B2" i="249"/>
  <c r="C3" i="249"/>
  <c r="D3" i="249"/>
  <c r="E3" i="249"/>
  <c r="F3" i="249"/>
  <c r="G3" i="249"/>
  <c r="H3" i="249"/>
  <c r="A7" i="249"/>
  <c r="C7" i="249"/>
  <c r="D7" i="249"/>
  <c r="E7" i="249"/>
  <c r="F7" i="249"/>
  <c r="G7" i="249"/>
  <c r="H7" i="249"/>
  <c r="I7" i="249"/>
  <c r="J7" i="249"/>
  <c r="K7" i="249"/>
  <c r="A8" i="249"/>
  <c r="A9" i="249"/>
  <c r="A10" i="249"/>
  <c r="A11" i="249"/>
  <c r="A12" i="249"/>
  <c r="A13" i="249"/>
  <c r="A14" i="249"/>
  <c r="A15" i="249"/>
  <c r="C15" i="249"/>
  <c r="D15" i="249"/>
  <c r="E15" i="249"/>
  <c r="F15" i="249"/>
  <c r="G15" i="249"/>
  <c r="H15" i="249"/>
  <c r="I15" i="249"/>
  <c r="J15" i="249"/>
  <c r="K15" i="249"/>
  <c r="A16" i="249"/>
  <c r="A17" i="249"/>
  <c r="A18" i="249"/>
  <c r="A19" i="249"/>
  <c r="A21" i="249"/>
  <c r="C21" i="249"/>
  <c r="D21" i="249"/>
  <c r="E21" i="249"/>
  <c r="F21" i="249"/>
  <c r="G21" i="249"/>
  <c r="H21" i="249"/>
  <c r="I21" i="249"/>
  <c r="J21" i="249"/>
  <c r="K21" i="249"/>
  <c r="A22" i="249"/>
  <c r="A24" i="249"/>
  <c r="C24" i="249"/>
  <c r="D24" i="249"/>
  <c r="E24" i="249"/>
  <c r="F24" i="249"/>
  <c r="G24" i="249"/>
  <c r="H24" i="249"/>
  <c r="I24" i="249"/>
  <c r="J24" i="249"/>
  <c r="K24" i="249"/>
  <c r="A25" i="249"/>
  <c r="C30" i="249"/>
  <c r="D30" i="249"/>
  <c r="E30" i="249"/>
  <c r="F30" i="249"/>
  <c r="G30" i="249"/>
  <c r="H30" i="249"/>
  <c r="I30" i="249"/>
  <c r="J30" i="249"/>
  <c r="K30" i="249"/>
  <c r="A31" i="249"/>
  <c r="C39" i="249"/>
  <c r="D39" i="249"/>
  <c r="E39" i="249"/>
  <c r="J39" i="249"/>
  <c r="K39" i="249"/>
  <c r="C44" i="249"/>
  <c r="D44" i="249"/>
  <c r="E44" i="249"/>
  <c r="F44" i="249"/>
  <c r="G44" i="249"/>
  <c r="H44" i="249"/>
  <c r="I44" i="249"/>
  <c r="J44" i="249"/>
  <c r="K44" i="249"/>
  <c r="C47" i="249"/>
  <c r="D47" i="249"/>
  <c r="E47" i="249"/>
  <c r="F47" i="249"/>
  <c r="G47" i="249"/>
  <c r="H47" i="249"/>
  <c r="I47" i="249"/>
  <c r="J47" i="249"/>
  <c r="K47" i="249"/>
  <c r="A53" i="249"/>
  <c r="A2" i="136"/>
  <c r="B2" i="136"/>
  <c r="C3" i="136"/>
  <c r="D3" i="136"/>
  <c r="E3" i="136"/>
  <c r="F3" i="136"/>
  <c r="G3" i="136"/>
  <c r="H3" i="136"/>
  <c r="C7" i="136"/>
  <c r="D7" i="136"/>
  <c r="E7" i="136"/>
  <c r="F7" i="136"/>
  <c r="G7" i="136"/>
  <c r="H7" i="136"/>
  <c r="I7" i="136"/>
  <c r="J7" i="136"/>
  <c r="K7" i="136"/>
  <c r="B8" i="136"/>
  <c r="B9" i="136"/>
  <c r="B10" i="136"/>
  <c r="B11" i="136"/>
  <c r="B12" i="136"/>
  <c r="B13" i="136"/>
  <c r="C15" i="136"/>
  <c r="D15" i="136"/>
  <c r="E15" i="136"/>
  <c r="F15" i="136"/>
  <c r="G15" i="136"/>
  <c r="H15" i="136"/>
  <c r="I15" i="136"/>
  <c r="J15" i="136"/>
  <c r="K15" i="136"/>
  <c r="B16" i="136"/>
  <c r="B17" i="136"/>
  <c r="B20" i="136"/>
  <c r="B23" i="136"/>
  <c r="C25" i="136"/>
  <c r="D25" i="136"/>
  <c r="E25" i="136"/>
  <c r="F25" i="136"/>
  <c r="G25" i="136"/>
  <c r="H25" i="136"/>
  <c r="I25" i="136"/>
  <c r="J25" i="136"/>
  <c r="K25" i="136"/>
  <c r="C28" i="136"/>
  <c r="D28" i="136"/>
  <c r="E28" i="136"/>
  <c r="F28" i="136"/>
  <c r="G28" i="136"/>
  <c r="H28" i="136"/>
  <c r="I28" i="136"/>
  <c r="J28" i="136"/>
  <c r="K28" i="136"/>
  <c r="A34" i="136"/>
  <c r="A30" i="249"/>
  <c r="C34" i="136"/>
  <c r="D34" i="136"/>
  <c r="E34" i="136"/>
  <c r="F34" i="136"/>
  <c r="G34" i="136"/>
  <c r="H34" i="136"/>
  <c r="I34" i="136"/>
  <c r="J34" i="136"/>
  <c r="K34" i="136"/>
  <c r="A42" i="136"/>
  <c r="A39" i="249"/>
  <c r="C42" i="136"/>
  <c r="D42" i="136"/>
  <c r="E42" i="136"/>
  <c r="J42" i="136"/>
  <c r="K42" i="136"/>
  <c r="A47" i="136"/>
  <c r="A44" i="249" s="1"/>
  <c r="C47" i="136"/>
  <c r="D47" i="136"/>
  <c r="E47" i="136"/>
  <c r="F47" i="136"/>
  <c r="I47" i="136"/>
  <c r="I53" i="136" s="1"/>
  <c r="J47" i="136"/>
  <c r="K47" i="136"/>
  <c r="A48" i="136"/>
  <c r="A45" i="249" s="1"/>
  <c r="A50" i="136"/>
  <c r="A47" i="249" s="1"/>
  <c r="C50" i="136"/>
  <c r="D50" i="136"/>
  <c r="E50" i="136"/>
  <c r="F50" i="136"/>
  <c r="G50" i="136"/>
  <c r="H50" i="136"/>
  <c r="I50" i="136"/>
  <c r="J50" i="136"/>
  <c r="K50" i="136"/>
  <c r="A48" i="249"/>
  <c r="A55" i="136"/>
  <c r="B2" i="144"/>
  <c r="C3" i="144"/>
  <c r="D3" i="144"/>
  <c r="E3" i="144"/>
  <c r="F3" i="144"/>
  <c r="G3" i="144"/>
  <c r="H3" i="144"/>
  <c r="C17" i="144"/>
  <c r="D17" i="144"/>
  <c r="E17" i="144"/>
  <c r="F17" i="144"/>
  <c r="G17" i="144"/>
  <c r="H17" i="144"/>
  <c r="I17" i="144"/>
  <c r="J17" i="144"/>
  <c r="K17" i="144"/>
  <c r="A20" i="144"/>
  <c r="A21" i="144"/>
  <c r="A22" i="144"/>
  <c r="A23" i="144"/>
  <c r="A24" i="144"/>
  <c r="A25" i="144"/>
  <c r="A26" i="144"/>
  <c r="A27" i="144"/>
  <c r="A28" i="144"/>
  <c r="A29" i="144"/>
  <c r="A30" i="144"/>
  <c r="A31" i="144"/>
  <c r="C32" i="144"/>
  <c r="D32" i="144"/>
  <c r="E32" i="144"/>
  <c r="F32" i="144"/>
  <c r="G32" i="144"/>
  <c r="H32" i="144"/>
  <c r="I32" i="144"/>
  <c r="J32" i="144"/>
  <c r="K32" i="144"/>
  <c r="C50" i="144"/>
  <c r="D50" i="144"/>
  <c r="E50" i="144"/>
  <c r="F50" i="144"/>
  <c r="G50" i="144"/>
  <c r="H50" i="144"/>
  <c r="I50" i="144"/>
  <c r="J50" i="144"/>
  <c r="K50" i="144"/>
  <c r="A53" i="144"/>
  <c r="A54" i="144"/>
  <c r="A55" i="144"/>
  <c r="A56" i="144"/>
  <c r="A57" i="144"/>
  <c r="A58" i="144"/>
  <c r="A59" i="144"/>
  <c r="A60" i="144"/>
  <c r="A61" i="144"/>
  <c r="A62" i="144"/>
  <c r="A63" i="144"/>
  <c r="A64" i="144"/>
  <c r="C65" i="144"/>
  <c r="D65" i="144"/>
  <c r="D67" i="144" s="1"/>
  <c r="D12" i="237" s="1"/>
  <c r="E65" i="144"/>
  <c r="F65" i="144"/>
  <c r="G65" i="144"/>
  <c r="H65" i="144"/>
  <c r="I65" i="144"/>
  <c r="J65" i="144"/>
  <c r="K65" i="144"/>
  <c r="A69" i="144"/>
  <c r="B2" i="143"/>
  <c r="K18" i="143"/>
  <c r="L18" i="143"/>
  <c r="K28" i="143"/>
  <c r="L28" i="143"/>
  <c r="A32" i="143"/>
  <c r="B2" i="142"/>
  <c r="C3" i="142"/>
  <c r="D3" i="142"/>
  <c r="E3" i="142"/>
  <c r="F3" i="142"/>
  <c r="G3" i="142"/>
  <c r="H3" i="142"/>
  <c r="C17" i="142"/>
  <c r="D17" i="142"/>
  <c r="E17" i="142"/>
  <c r="F17" i="142"/>
  <c r="G17" i="142"/>
  <c r="H17" i="142"/>
  <c r="I17" i="142"/>
  <c r="J17" i="142"/>
  <c r="K17" i="142"/>
  <c r="A20" i="142"/>
  <c r="A21" i="142"/>
  <c r="A22" i="142"/>
  <c r="A23" i="142"/>
  <c r="A24" i="142"/>
  <c r="A25" i="142"/>
  <c r="A26" i="142"/>
  <c r="A27" i="142"/>
  <c r="A28" i="142"/>
  <c r="C30" i="142"/>
  <c r="D30" i="142"/>
  <c r="E30" i="142"/>
  <c r="E32" i="142"/>
  <c r="F30" i="142"/>
  <c r="G30" i="142"/>
  <c r="H30" i="142"/>
  <c r="I30" i="142"/>
  <c r="J30" i="142"/>
  <c r="K30" i="142"/>
  <c r="A34" i="142"/>
  <c r="A2" i="337"/>
  <c r="B2" i="337"/>
  <c r="C3" i="337"/>
  <c r="D3" i="337"/>
  <c r="E3" i="337"/>
  <c r="F3" i="337"/>
  <c r="G3" i="337"/>
  <c r="H3" i="337"/>
  <c r="C15" i="337"/>
  <c r="D15" i="337"/>
  <c r="D17" i="337"/>
  <c r="E15" i="337"/>
  <c r="E17" i="337"/>
  <c r="F15" i="337"/>
  <c r="F17" i="337"/>
  <c r="G15" i="337"/>
  <c r="G17" i="337" s="1"/>
  <c r="H15" i="337"/>
  <c r="H17" i="337" s="1"/>
  <c r="J15" i="337"/>
  <c r="K15" i="337"/>
  <c r="K17" i="337" s="1"/>
  <c r="L15" i="337"/>
  <c r="L17" i="337" s="1"/>
  <c r="C17" i="337"/>
  <c r="A21" i="337"/>
  <c r="A22" i="337"/>
  <c r="A23" i="337"/>
  <c r="A24" i="337"/>
  <c r="A25" i="337"/>
  <c r="A26" i="337"/>
  <c r="A27" i="337"/>
  <c r="A28" i="337"/>
  <c r="A29" i="337"/>
  <c r="A30" i="337"/>
  <c r="C30" i="337"/>
  <c r="C32" i="337"/>
  <c r="D30" i="337"/>
  <c r="D32" i="337"/>
  <c r="E30" i="337"/>
  <c r="E32" i="337" s="1"/>
  <c r="F30" i="337"/>
  <c r="G30" i="337"/>
  <c r="G32" i="337" s="1"/>
  <c r="H30" i="337"/>
  <c r="H32" i="337"/>
  <c r="H33" i="337" s="1"/>
  <c r="J30" i="337"/>
  <c r="K30" i="337"/>
  <c r="K32" i="337" s="1"/>
  <c r="L30" i="337"/>
  <c r="L32" i="337" s="1"/>
  <c r="A31" i="337"/>
  <c r="A36" i="337"/>
  <c r="A37" i="337"/>
  <c r="A38" i="337"/>
  <c r="A39" i="337"/>
  <c r="A40" i="337"/>
  <c r="A41" i="337"/>
  <c r="A42" i="337"/>
  <c r="A43" i="337"/>
  <c r="A44" i="337"/>
  <c r="A45" i="337"/>
  <c r="C45" i="337"/>
  <c r="C47" i="337" s="1"/>
  <c r="D45" i="337"/>
  <c r="D47" i="337" s="1"/>
  <c r="E48" i="337" s="1"/>
  <c r="E45" i="337"/>
  <c r="E47" i="337"/>
  <c r="F45" i="337"/>
  <c r="F47" i="337"/>
  <c r="G45" i="337"/>
  <c r="H45" i="337"/>
  <c r="H47" i="337"/>
  <c r="J45" i="337"/>
  <c r="I45" i="337"/>
  <c r="K45" i="337"/>
  <c r="K47" i="337"/>
  <c r="L45" i="337"/>
  <c r="L47" i="337"/>
  <c r="A46" i="337"/>
  <c r="I46" i="337"/>
  <c r="G47" i="337"/>
  <c r="A48" i="337"/>
  <c r="A50" i="337"/>
  <c r="A2" i="361"/>
  <c r="B2" i="361"/>
  <c r="S39" i="361"/>
  <c r="S40"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A20" i="123"/>
  <c r="A38" i="123"/>
  <c r="A39" i="123"/>
  <c r="A40" i="123"/>
  <c r="A41" i="123"/>
  <c r="A42" i="123"/>
  <c r="D50" i="123"/>
  <c r="E50" i="123"/>
  <c r="F50" i="123"/>
  <c r="G50" i="123"/>
  <c r="H50" i="123"/>
  <c r="I50" i="123"/>
  <c r="J50" i="123"/>
  <c r="K50" i="123"/>
  <c r="L50" i="123"/>
  <c r="M50" i="123"/>
  <c r="A51" i="123"/>
  <c r="D51" i="123"/>
  <c r="E51" i="123"/>
  <c r="F51" i="123"/>
  <c r="G51" i="123"/>
  <c r="H51" i="123"/>
  <c r="I51" i="123"/>
  <c r="J51" i="123"/>
  <c r="K51" i="123"/>
  <c r="L51" i="123"/>
  <c r="M51" i="123"/>
  <c r="D53" i="123"/>
  <c r="E53" i="123"/>
  <c r="F53" i="123"/>
  <c r="G53" i="123"/>
  <c r="H53" i="123"/>
  <c r="I53" i="123"/>
  <c r="J53" i="123"/>
  <c r="K53" i="123"/>
  <c r="L53" i="123"/>
  <c r="M53" i="123"/>
  <c r="D56" i="123"/>
  <c r="E56" i="123"/>
  <c r="F56" i="123"/>
  <c r="G56" i="123"/>
  <c r="H56" i="123"/>
  <c r="I56" i="123"/>
  <c r="J56" i="123"/>
  <c r="K56" i="123"/>
  <c r="L56" i="123"/>
  <c r="M56" i="123"/>
  <c r="B57" i="123"/>
  <c r="B58" i="123"/>
  <c r="K68" i="123"/>
  <c r="K14" i="123" s="1"/>
  <c r="L68" i="123"/>
  <c r="M68" i="123"/>
  <c r="K76" i="123"/>
  <c r="L76" i="123"/>
  <c r="M76" i="123"/>
  <c r="K82" i="123"/>
  <c r="L82" i="123"/>
  <c r="M82" i="123"/>
  <c r="A84" i="123"/>
  <c r="K84" i="123"/>
  <c r="L84" i="123"/>
  <c r="M84" i="123"/>
  <c r="E98" i="123"/>
  <c r="F98" i="123"/>
  <c r="G98" i="123"/>
  <c r="H98" i="123"/>
  <c r="I98" i="123"/>
  <c r="J98" i="123"/>
  <c r="K98" i="123"/>
  <c r="L98" i="123"/>
  <c r="M98" i="123"/>
  <c r="K120" i="123"/>
  <c r="A137" i="123"/>
  <c r="D2" i="235"/>
  <c r="E2" i="235"/>
  <c r="G3" i="235"/>
  <c r="H3" i="235"/>
  <c r="I3" i="235"/>
  <c r="J3" i="235"/>
  <c r="K3" i="235"/>
  <c r="L3" i="235"/>
  <c r="M3" i="235"/>
  <c r="D41" i="235"/>
  <c r="E41" i="235"/>
  <c r="F41" i="235"/>
  <c r="G41" i="235"/>
  <c r="H41" i="235"/>
  <c r="I41" i="235"/>
  <c r="J41" i="235"/>
  <c r="K41" i="235"/>
  <c r="L41" i="235"/>
  <c r="M41" i="235"/>
  <c r="D45" i="235"/>
  <c r="E45" i="235"/>
  <c r="F45" i="235"/>
  <c r="G45" i="235"/>
  <c r="H45" i="235"/>
  <c r="I45" i="235"/>
  <c r="J45" i="235"/>
  <c r="K45" i="235"/>
  <c r="L45" i="235"/>
  <c r="M45" i="235"/>
  <c r="E64" i="235"/>
  <c r="F64" i="235"/>
  <c r="G64" i="235"/>
  <c r="H64" i="235"/>
  <c r="I64" i="235"/>
  <c r="J64" i="235"/>
  <c r="E71" i="235"/>
  <c r="F71" i="235"/>
  <c r="G71" i="235"/>
  <c r="H71" i="235"/>
  <c r="I71" i="235"/>
  <c r="J71" i="235"/>
  <c r="K71" i="235"/>
  <c r="L71" i="235"/>
  <c r="M71" i="235"/>
  <c r="E75" i="235"/>
  <c r="F75" i="235"/>
  <c r="G75" i="235"/>
  <c r="H75" i="235"/>
  <c r="H76" i="235" s="1"/>
  <c r="I75" i="235"/>
  <c r="I76" i="235" s="1"/>
  <c r="J75" i="235"/>
  <c r="K75" i="235"/>
  <c r="L75" i="235"/>
  <c r="L76" i="235"/>
  <c r="M75" i="235"/>
  <c r="E83" i="235"/>
  <c r="F83" i="235"/>
  <c r="G83" i="235"/>
  <c r="H83" i="235"/>
  <c r="I83" i="235"/>
  <c r="J83" i="235"/>
  <c r="K83" i="235"/>
  <c r="L83" i="235"/>
  <c r="M83" i="235"/>
  <c r="E87" i="235"/>
  <c r="F87" i="235"/>
  <c r="G87" i="235"/>
  <c r="H87" i="235"/>
  <c r="I87" i="235"/>
  <c r="J87" i="235"/>
  <c r="K87" i="235"/>
  <c r="L87" i="235"/>
  <c r="M87" i="235"/>
  <c r="E92" i="235"/>
  <c r="F92" i="235"/>
  <c r="G92" i="235"/>
  <c r="H92" i="235"/>
  <c r="H97" i="235" s="1"/>
  <c r="I92" i="235"/>
  <c r="J92" i="235"/>
  <c r="K92" i="235"/>
  <c r="L92" i="235"/>
  <c r="M92" i="235"/>
  <c r="E96" i="235"/>
  <c r="F96" i="235"/>
  <c r="F97" i="235" s="1"/>
  <c r="G96" i="235"/>
  <c r="G97" i="235"/>
  <c r="H96" i="235"/>
  <c r="I96" i="235"/>
  <c r="J96" i="235"/>
  <c r="K96" i="235"/>
  <c r="K97" i="235" s="1"/>
  <c r="L96" i="235"/>
  <c r="M96" i="235"/>
  <c r="L97" i="235"/>
  <c r="E100" i="235"/>
  <c r="F100" i="235"/>
  <c r="G100" i="235"/>
  <c r="H100" i="235"/>
  <c r="I100" i="235"/>
  <c r="J100" i="235"/>
  <c r="K100" i="235"/>
  <c r="L100" i="235"/>
  <c r="M100" i="235"/>
  <c r="E106" i="235"/>
  <c r="F106" i="235"/>
  <c r="G106" i="235"/>
  <c r="H106" i="235"/>
  <c r="H107" i="235" s="1"/>
  <c r="I106" i="235"/>
  <c r="J106" i="235"/>
  <c r="K106" i="235"/>
  <c r="L106" i="235"/>
  <c r="M106" i="235"/>
  <c r="E110" i="235"/>
  <c r="F110" i="235"/>
  <c r="G110" i="235"/>
  <c r="H110" i="235"/>
  <c r="I110" i="235"/>
  <c r="J110" i="235"/>
  <c r="E117" i="235"/>
  <c r="F117" i="235"/>
  <c r="G117" i="235"/>
  <c r="H117" i="235"/>
  <c r="I117" i="235"/>
  <c r="J117" i="235"/>
  <c r="K117" i="235"/>
  <c r="L117" i="235"/>
  <c r="M117" i="235"/>
  <c r="E121" i="235"/>
  <c r="F121" i="235"/>
  <c r="G121" i="235"/>
  <c r="H121" i="235"/>
  <c r="I121" i="235"/>
  <c r="J121" i="235"/>
  <c r="K121" i="235"/>
  <c r="L121" i="235"/>
  <c r="L122" i="235" s="1"/>
  <c r="M121" i="235"/>
  <c r="E129" i="235"/>
  <c r="F129" i="235"/>
  <c r="G129" i="235"/>
  <c r="H129" i="235"/>
  <c r="I129" i="235"/>
  <c r="J129" i="235"/>
  <c r="K129" i="235"/>
  <c r="L129" i="235"/>
  <c r="M129" i="235"/>
  <c r="E133" i="235"/>
  <c r="F133" i="235"/>
  <c r="G133" i="235"/>
  <c r="H133" i="235"/>
  <c r="I133" i="235"/>
  <c r="J133" i="235"/>
  <c r="J134" i="235" s="1"/>
  <c r="K133" i="235"/>
  <c r="L133" i="235"/>
  <c r="M133" i="235"/>
  <c r="E138" i="235"/>
  <c r="F138" i="235"/>
  <c r="G138" i="235"/>
  <c r="H138" i="235"/>
  <c r="I138" i="235"/>
  <c r="J138" i="235"/>
  <c r="K138" i="235"/>
  <c r="L138" i="235"/>
  <c r="M138" i="235"/>
  <c r="E142" i="235"/>
  <c r="E143" i="235" s="1"/>
  <c r="F142" i="235"/>
  <c r="F143" i="235"/>
  <c r="G142" i="235"/>
  <c r="H142" i="235"/>
  <c r="H143" i="235" s="1"/>
  <c r="I142" i="235"/>
  <c r="J142" i="235"/>
  <c r="K142" i="235"/>
  <c r="L142" i="235"/>
  <c r="M142" i="235"/>
  <c r="E146" i="235"/>
  <c r="F146" i="235"/>
  <c r="G146" i="235"/>
  <c r="H146" i="235"/>
  <c r="I146" i="235"/>
  <c r="J146" i="235"/>
  <c r="J153" i="235" s="1"/>
  <c r="K146" i="235"/>
  <c r="L146" i="235"/>
  <c r="M146" i="235"/>
  <c r="E152" i="235"/>
  <c r="F152" i="235"/>
  <c r="F153" i="235" s="1"/>
  <c r="G152" i="235"/>
  <c r="H152" i="235"/>
  <c r="I152" i="235"/>
  <c r="J152" i="235"/>
  <c r="K152" i="235"/>
  <c r="L152" i="235"/>
  <c r="M152" i="235"/>
  <c r="E156" i="235"/>
  <c r="F156" i="235"/>
  <c r="G156" i="235"/>
  <c r="H156" i="235"/>
  <c r="I156" i="235"/>
  <c r="J156" i="235"/>
  <c r="E163" i="235"/>
  <c r="F163" i="235"/>
  <c r="G163" i="235"/>
  <c r="H163" i="235"/>
  <c r="I163" i="235"/>
  <c r="J163" i="235"/>
  <c r="K163" i="235"/>
  <c r="L163" i="235"/>
  <c r="M163" i="235"/>
  <c r="E167" i="235"/>
  <c r="F167" i="235"/>
  <c r="G167" i="235"/>
  <c r="G168" i="235" s="1"/>
  <c r="H167" i="235"/>
  <c r="H168" i="235"/>
  <c r="I167" i="235"/>
  <c r="I168" i="235"/>
  <c r="J167" i="235"/>
  <c r="K167" i="235"/>
  <c r="L167" i="235"/>
  <c r="L168" i="235"/>
  <c r="M167" i="235"/>
  <c r="M168" i="235"/>
  <c r="E175" i="235"/>
  <c r="F175" i="235"/>
  <c r="G175" i="235"/>
  <c r="H175" i="235"/>
  <c r="I175" i="235"/>
  <c r="J175" i="235"/>
  <c r="K175" i="235"/>
  <c r="L175" i="235"/>
  <c r="M175" i="235"/>
  <c r="E179" i="235"/>
  <c r="E180" i="235" s="1"/>
  <c r="F179" i="235"/>
  <c r="G179" i="235"/>
  <c r="H179" i="235"/>
  <c r="I179" i="235"/>
  <c r="J179" i="235"/>
  <c r="K179" i="235"/>
  <c r="L179" i="235"/>
  <c r="M179" i="235"/>
  <c r="E184" i="235"/>
  <c r="F184" i="235"/>
  <c r="G184" i="235"/>
  <c r="H184" i="235"/>
  <c r="I184" i="235"/>
  <c r="J184" i="235"/>
  <c r="K184" i="235"/>
  <c r="L184" i="235"/>
  <c r="M184" i="235"/>
  <c r="E188" i="235"/>
  <c r="F188" i="235"/>
  <c r="F189" i="235" s="1"/>
  <c r="G188" i="235"/>
  <c r="H188" i="235"/>
  <c r="I188" i="235"/>
  <c r="J188" i="235"/>
  <c r="K188" i="235"/>
  <c r="L188" i="235"/>
  <c r="L189" i="235"/>
  <c r="M188" i="235"/>
  <c r="E192" i="235"/>
  <c r="F192" i="235"/>
  <c r="G192" i="235"/>
  <c r="H192" i="235"/>
  <c r="I192" i="235"/>
  <c r="J192" i="235"/>
  <c r="K192" i="235"/>
  <c r="L192" i="235"/>
  <c r="M192" i="235"/>
  <c r="E198" i="235"/>
  <c r="F198" i="235"/>
  <c r="G198" i="235"/>
  <c r="H198" i="235"/>
  <c r="H199" i="235"/>
  <c r="I198" i="235"/>
  <c r="J198" i="235"/>
  <c r="K198" i="235"/>
  <c r="L198" i="235"/>
  <c r="L199" i="235" s="1"/>
  <c r="M198" i="235"/>
  <c r="E202" i="235"/>
  <c r="F202" i="235"/>
  <c r="G202" i="235"/>
  <c r="H202" i="235"/>
  <c r="I202" i="235"/>
  <c r="J202" i="235"/>
  <c r="E209" i="235"/>
  <c r="F209" i="235"/>
  <c r="G209" i="235"/>
  <c r="H209" i="235"/>
  <c r="I209" i="235"/>
  <c r="I214" i="235" s="1"/>
  <c r="J209" i="235"/>
  <c r="K209" i="235"/>
  <c r="L209" i="235"/>
  <c r="M209" i="235"/>
  <c r="E213" i="235"/>
  <c r="E214" i="235" s="1"/>
  <c r="F213" i="235"/>
  <c r="G213" i="235"/>
  <c r="H213" i="235"/>
  <c r="I213" i="235"/>
  <c r="J213" i="235"/>
  <c r="K213" i="235"/>
  <c r="L213" i="235"/>
  <c r="L214" i="235"/>
  <c r="M213" i="235"/>
  <c r="E221" i="235"/>
  <c r="E226" i="235" s="1"/>
  <c r="F221" i="235"/>
  <c r="G221" i="235"/>
  <c r="H221" i="235"/>
  <c r="I221" i="235"/>
  <c r="J221" i="235"/>
  <c r="K221" i="235"/>
  <c r="L221" i="235"/>
  <c r="M221" i="235"/>
  <c r="E225" i="235"/>
  <c r="F225" i="235"/>
  <c r="G225" i="235"/>
  <c r="H225" i="235"/>
  <c r="I225" i="235"/>
  <c r="J225" i="235"/>
  <c r="K225" i="235"/>
  <c r="L225" i="235"/>
  <c r="M225" i="235"/>
  <c r="M226" i="235" s="1"/>
  <c r="E230" i="235"/>
  <c r="F230" i="235"/>
  <c r="G230" i="235"/>
  <c r="H230" i="235"/>
  <c r="I230" i="235"/>
  <c r="J230" i="235"/>
  <c r="K230" i="235"/>
  <c r="L230" i="235"/>
  <c r="M230" i="235"/>
  <c r="E234" i="235"/>
  <c r="F234" i="235"/>
  <c r="G234" i="235"/>
  <c r="H234" i="235"/>
  <c r="I234" i="235"/>
  <c r="J234" i="235"/>
  <c r="K234" i="235"/>
  <c r="L234" i="235"/>
  <c r="M234" i="235"/>
  <c r="M235" i="235" s="1"/>
  <c r="E238" i="235"/>
  <c r="F238" i="235"/>
  <c r="G238" i="235"/>
  <c r="G245" i="235" s="1"/>
  <c r="H238" i="235"/>
  <c r="I238" i="235"/>
  <c r="J238" i="235"/>
  <c r="J245" i="235" s="1"/>
  <c r="K238" i="235"/>
  <c r="L238" i="235"/>
  <c r="M238" i="235"/>
  <c r="E244" i="235"/>
  <c r="E245" i="235" s="1"/>
  <c r="F244" i="235"/>
  <c r="G244" i="235"/>
  <c r="H244" i="235"/>
  <c r="H245" i="235"/>
  <c r="I244" i="235"/>
  <c r="I245" i="235"/>
  <c r="J244" i="235"/>
  <c r="K244" i="235"/>
  <c r="L244" i="235"/>
  <c r="L245" i="235"/>
  <c r="M244" i="235"/>
  <c r="M245" i="235"/>
  <c r="A248" i="235"/>
  <c r="C3" i="88"/>
  <c r="D3" i="88"/>
  <c r="E3" i="88"/>
  <c r="F3" i="88"/>
  <c r="G3" i="88"/>
  <c r="H3" i="88"/>
  <c r="I3" i="88"/>
  <c r="A38" i="88"/>
  <c r="D45" i="88"/>
  <c r="E45" i="88"/>
  <c r="F45" i="88"/>
  <c r="G45" i="88"/>
  <c r="H45" i="88"/>
  <c r="I45" i="88"/>
  <c r="J45" i="88"/>
  <c r="K45" i="88"/>
  <c r="L45" i="88"/>
  <c r="C47" i="88"/>
  <c r="D47" i="88"/>
  <c r="E47" i="88"/>
  <c r="F47" i="88"/>
  <c r="G47" i="88"/>
  <c r="H47" i="88"/>
  <c r="I47" i="88"/>
  <c r="J47" i="88"/>
  <c r="K47" i="88"/>
  <c r="L47" i="88"/>
  <c r="C3" i="147"/>
  <c r="D3" i="147"/>
  <c r="E3" i="147"/>
  <c r="F3" i="147"/>
  <c r="G3" i="147"/>
  <c r="H3" i="147"/>
  <c r="A78" i="147"/>
  <c r="C79" i="147"/>
  <c r="D79" i="147"/>
  <c r="E79" i="147"/>
  <c r="F79" i="147"/>
  <c r="G79" i="147"/>
  <c r="H79" i="147"/>
  <c r="A85" i="147"/>
  <c r="A89" i="147"/>
  <c r="D2" i="314"/>
  <c r="E3" i="314"/>
  <c r="F3" i="314"/>
  <c r="G3" i="314"/>
  <c r="H3" i="314"/>
  <c r="I3" i="314"/>
  <c r="J3" i="314"/>
  <c r="G30" i="314"/>
  <c r="H30" i="314"/>
  <c r="I30" i="314"/>
  <c r="J30" i="314"/>
  <c r="K30" i="314"/>
  <c r="L30" i="314"/>
  <c r="M30" i="314"/>
  <c r="A32" i="314"/>
  <c r="D2" i="315"/>
  <c r="E3" i="315"/>
  <c r="F3" i="315"/>
  <c r="G3" i="315"/>
  <c r="H3" i="315"/>
  <c r="I3" i="315"/>
  <c r="J3" i="315"/>
  <c r="A32" i="315"/>
  <c r="E32" i="315"/>
  <c r="F32" i="315"/>
  <c r="G32" i="315"/>
  <c r="H32" i="315"/>
  <c r="I32" i="315"/>
  <c r="J32" i="315"/>
  <c r="K32" i="315"/>
  <c r="L32" i="315"/>
  <c r="M32" i="315"/>
  <c r="A33" i="315"/>
  <c r="D2" i="141"/>
  <c r="E3" i="141"/>
  <c r="F3" i="141"/>
  <c r="G3" i="141"/>
  <c r="H3" i="141"/>
  <c r="I3" i="141"/>
  <c r="J3" i="141"/>
  <c r="A45" i="141"/>
  <c r="E45" i="141"/>
  <c r="F45" i="141"/>
  <c r="G45" i="141"/>
  <c r="H45" i="141"/>
  <c r="I45" i="141"/>
  <c r="J45" i="141"/>
  <c r="K45" i="141"/>
  <c r="L45" i="141"/>
  <c r="M45" i="141"/>
  <c r="A46" i="141"/>
  <c r="A2" i="128"/>
  <c r="B2" i="128"/>
  <c r="C3" i="128"/>
  <c r="D3" i="128"/>
  <c r="E3" i="128"/>
  <c r="F3" i="128"/>
  <c r="G3" i="128"/>
  <c r="H3" i="128"/>
  <c r="I3" i="128"/>
  <c r="A6" i="128"/>
  <c r="A9" i="128" s="1"/>
  <c r="C9" i="128"/>
  <c r="D9" i="128"/>
  <c r="E9" i="128"/>
  <c r="E7" i="129" s="1"/>
  <c r="F9" i="128"/>
  <c r="F7" i="129" s="1"/>
  <c r="G9" i="128"/>
  <c r="H9" i="128"/>
  <c r="I9" i="128"/>
  <c r="J9" i="128"/>
  <c r="J7" i="129"/>
  <c r="K9" i="128"/>
  <c r="K7" i="129"/>
  <c r="L9" i="128"/>
  <c r="L7" i="129"/>
  <c r="A11" i="128"/>
  <c r="C14" i="128"/>
  <c r="C8" i="129" s="1"/>
  <c r="D14" i="128"/>
  <c r="D8" i="129" s="1"/>
  <c r="E14" i="128"/>
  <c r="E8" i="129" s="1"/>
  <c r="F14" i="128"/>
  <c r="F8" i="129"/>
  <c r="G14" i="128"/>
  <c r="G8" i="129"/>
  <c r="H14" i="128"/>
  <c r="H8" i="129"/>
  <c r="I14" i="128"/>
  <c r="I8" i="129"/>
  <c r="J14" i="128"/>
  <c r="J8" i="129"/>
  <c r="K14" i="128"/>
  <c r="K8" i="129"/>
  <c r="L14" i="128"/>
  <c r="L8" i="129"/>
  <c r="C20" i="128"/>
  <c r="D20" i="128"/>
  <c r="E20" i="128"/>
  <c r="F20" i="128"/>
  <c r="G20" i="128"/>
  <c r="H20" i="128"/>
  <c r="I20" i="128"/>
  <c r="J20" i="128"/>
  <c r="K20" i="128"/>
  <c r="L20" i="128"/>
  <c r="A22" i="128"/>
  <c r="A26" i="128"/>
  <c r="C26" i="128"/>
  <c r="D26" i="128"/>
  <c r="E26" i="128"/>
  <c r="E19" i="129"/>
  <c r="E24" i="129" s="1"/>
  <c r="F26" i="128"/>
  <c r="F19" i="129" s="1"/>
  <c r="F24" i="129" s="1"/>
  <c r="G26" i="128"/>
  <c r="G19" i="129"/>
  <c r="G24" i="129" s="1"/>
  <c r="H26" i="128"/>
  <c r="I26" i="128"/>
  <c r="J26" i="128"/>
  <c r="J19" i="129" s="1"/>
  <c r="J24" i="129" s="1"/>
  <c r="I36" i="86" s="1"/>
  <c r="K26" i="128"/>
  <c r="L26" i="128"/>
  <c r="A29" i="128"/>
  <c r="A32" i="128" s="1"/>
  <c r="C32" i="128"/>
  <c r="C30" i="129" s="1"/>
  <c r="D32" i="128"/>
  <c r="E32" i="128"/>
  <c r="F32" i="128"/>
  <c r="F30" i="129" s="1"/>
  <c r="G32" i="128"/>
  <c r="G30" i="129" s="1"/>
  <c r="H32" i="128"/>
  <c r="H30" i="129" s="1"/>
  <c r="I32" i="128"/>
  <c r="J32" i="128"/>
  <c r="J30" i="129"/>
  <c r="K32" i="128"/>
  <c r="K30" i="129"/>
  <c r="L32" i="128"/>
  <c r="A34" i="128"/>
  <c r="A38" i="128" s="1"/>
  <c r="C38" i="128"/>
  <c r="C32" i="129" s="1"/>
  <c r="D38" i="128"/>
  <c r="D32" i="129" s="1"/>
  <c r="E38" i="128"/>
  <c r="E32" i="129" s="1"/>
  <c r="F38" i="128"/>
  <c r="G38" i="128"/>
  <c r="G32" i="129"/>
  <c r="H38" i="128"/>
  <c r="H32" i="129"/>
  <c r="I38" i="128"/>
  <c r="I32" i="129"/>
  <c r="J38" i="128"/>
  <c r="K38" i="128"/>
  <c r="K32" i="129" s="1"/>
  <c r="L38" i="128"/>
  <c r="L32" i="129" s="1"/>
  <c r="A40" i="128"/>
  <c r="A43" i="128" s="1"/>
  <c r="C43" i="128"/>
  <c r="D43" i="128"/>
  <c r="D37" i="129"/>
  <c r="E43" i="128"/>
  <c r="E37" i="129"/>
  <c r="F43" i="128"/>
  <c r="F37" i="129"/>
  <c r="G43" i="128"/>
  <c r="H43" i="128"/>
  <c r="I43" i="128"/>
  <c r="I37" i="129"/>
  <c r="J43" i="128"/>
  <c r="J37" i="129"/>
  <c r="K43" i="128"/>
  <c r="L43" i="128"/>
  <c r="L37" i="129" s="1"/>
  <c r="A45" i="128"/>
  <c r="A50" i="128" s="1"/>
  <c r="C50" i="128"/>
  <c r="C38" i="129" s="1"/>
  <c r="D50" i="128"/>
  <c r="E50" i="128"/>
  <c r="F50" i="128"/>
  <c r="F38" i="129" s="1"/>
  <c r="G50" i="128"/>
  <c r="G38" i="129" s="1"/>
  <c r="H50" i="128"/>
  <c r="I50" i="128"/>
  <c r="I38" i="129"/>
  <c r="J50" i="128"/>
  <c r="J38" i="129"/>
  <c r="K50" i="128"/>
  <c r="K38" i="129"/>
  <c r="L50" i="128"/>
  <c r="A53" i="128"/>
  <c r="A54" i="128" s="1"/>
  <c r="C56" i="128"/>
  <c r="D56" i="128"/>
  <c r="E56" i="128"/>
  <c r="F56" i="128"/>
  <c r="G56" i="128"/>
  <c r="H56" i="128"/>
  <c r="I56" i="128"/>
  <c r="J56" i="128"/>
  <c r="K56" i="128"/>
  <c r="L56" i="128"/>
  <c r="A57" i="128"/>
  <c r="C69" i="128"/>
  <c r="D69" i="128"/>
  <c r="D46" i="129" s="1"/>
  <c r="D48" i="129" s="1"/>
  <c r="E69" i="128"/>
  <c r="F69" i="128"/>
  <c r="G69" i="128"/>
  <c r="G46" i="129"/>
  <c r="G48" i="129" s="1"/>
  <c r="H69" i="128"/>
  <c r="H46" i="129" s="1"/>
  <c r="H48" i="129" s="1"/>
  <c r="I69" i="128"/>
  <c r="J69" i="128"/>
  <c r="K69" i="128"/>
  <c r="K46" i="129"/>
  <c r="K48" i="129" s="1"/>
  <c r="L69" i="128"/>
  <c r="L46" i="129" s="1"/>
  <c r="L48" i="129" s="1"/>
  <c r="A70" i="128"/>
  <c r="A76" i="128"/>
  <c r="E82" i="128"/>
  <c r="F82" i="128"/>
  <c r="G82" i="128"/>
  <c r="H82" i="128"/>
  <c r="I82" i="128"/>
  <c r="A2" i="246"/>
  <c r="B2" i="246"/>
  <c r="A4" i="246"/>
  <c r="A5" i="246"/>
  <c r="R5" i="246"/>
  <c r="A6" i="246"/>
  <c r="R6" i="246"/>
  <c r="A7" i="246"/>
  <c r="R7" i="246"/>
  <c r="A8" i="246"/>
  <c r="R8" i="246"/>
  <c r="A9" i="246"/>
  <c r="R9" i="246"/>
  <c r="A10" i="246"/>
  <c r="R10" i="246"/>
  <c r="A11" i="246"/>
  <c r="R11" i="246"/>
  <c r="A12" i="246"/>
  <c r="R12" i="246"/>
  <c r="A13" i="246"/>
  <c r="R13" i="246"/>
  <c r="A14" i="246"/>
  <c r="R14" i="246"/>
  <c r="A15" i="246"/>
  <c r="R15" i="246"/>
  <c r="A16" i="246"/>
  <c r="R16" i="246"/>
  <c r="A17" i="246"/>
  <c r="R17" i="246"/>
  <c r="A18" i="246"/>
  <c r="R18" i="246"/>
  <c r="A19" i="246"/>
  <c r="R19" i="246"/>
  <c r="A20" i="246"/>
  <c r="R20" i="246"/>
  <c r="A21" i="246"/>
  <c r="R21" i="246"/>
  <c r="A22" i="246"/>
  <c r="C22" i="246"/>
  <c r="D22" i="246"/>
  <c r="E22" i="246"/>
  <c r="F22" i="246"/>
  <c r="G22" i="246"/>
  <c r="H22" i="246"/>
  <c r="H38" i="246" s="1"/>
  <c r="H42" i="246" s="1"/>
  <c r="I22" i="246"/>
  <c r="J22" i="246"/>
  <c r="K22" i="246"/>
  <c r="L22" i="246"/>
  <c r="M22" i="246"/>
  <c r="N22" i="246"/>
  <c r="O22" i="246"/>
  <c r="P22" i="246"/>
  <c r="P38" i="246" s="1"/>
  <c r="P42" i="246" s="1"/>
  <c r="Q22" i="246"/>
  <c r="A24" i="246"/>
  <c r="A25" i="246"/>
  <c r="R25" i="246"/>
  <c r="A26" i="246"/>
  <c r="R26" i="246"/>
  <c r="A27" i="246"/>
  <c r="R27" i="246"/>
  <c r="A28" i="246"/>
  <c r="R28" i="246"/>
  <c r="A29" i="246"/>
  <c r="R29" i="246"/>
  <c r="A30" i="246"/>
  <c r="R30" i="246"/>
  <c r="A31" i="246"/>
  <c r="R31" i="246"/>
  <c r="A32" i="246"/>
  <c r="R32" i="246"/>
  <c r="A33" i="246"/>
  <c r="R33" i="246"/>
  <c r="A34" i="246"/>
  <c r="R34" i="246"/>
  <c r="A35" i="246"/>
  <c r="R35" i="246"/>
  <c r="C36" i="246"/>
  <c r="D36" i="246"/>
  <c r="E36" i="246"/>
  <c r="F36" i="246"/>
  <c r="F38" i="246" s="1"/>
  <c r="F42" i="246" s="1"/>
  <c r="G36" i="246"/>
  <c r="G38" i="246"/>
  <c r="G42" i="246" s="1"/>
  <c r="H36" i="246"/>
  <c r="I36" i="246"/>
  <c r="I38" i="246" s="1"/>
  <c r="I42" i="246" s="1"/>
  <c r="J36" i="246"/>
  <c r="K36" i="246"/>
  <c r="L36" i="246"/>
  <c r="M36" i="246"/>
  <c r="M38" i="246" s="1"/>
  <c r="M42" i="246" s="1"/>
  <c r="N36" i="246"/>
  <c r="N38" i="246" s="1"/>
  <c r="N42" i="246" s="1"/>
  <c r="O36" i="246"/>
  <c r="P36" i="246"/>
  <c r="Q36" i="246"/>
  <c r="Q38" i="246" s="1"/>
  <c r="Q42" i="246" s="1"/>
  <c r="A38" i="246"/>
  <c r="L38" i="246"/>
  <c r="L42" i="246"/>
  <c r="A39" i="246"/>
  <c r="R39" i="246"/>
  <c r="A40" i="246"/>
  <c r="R40" i="246"/>
  <c r="A41" i="246"/>
  <c r="R41" i="246"/>
  <c r="A42" i="246"/>
  <c r="A43" i="246"/>
  <c r="A2" i="255"/>
  <c r="B2" i="255"/>
  <c r="C3" i="255"/>
  <c r="D3" i="255"/>
  <c r="E3" i="255"/>
  <c r="F3" i="255"/>
  <c r="G3" i="255"/>
  <c r="H3" i="255"/>
  <c r="I3" i="255"/>
  <c r="A6" i="255"/>
  <c r="C9" i="255"/>
  <c r="D9" i="255"/>
  <c r="E9" i="255"/>
  <c r="F9" i="255"/>
  <c r="F5" i="127"/>
  <c r="G9" i="255"/>
  <c r="H9" i="255"/>
  <c r="I9" i="255"/>
  <c r="J9" i="255"/>
  <c r="J5" i="127" s="1"/>
  <c r="K9" i="255"/>
  <c r="L9" i="255"/>
  <c r="A11" i="255"/>
  <c r="A12" i="255" s="1"/>
  <c r="A13" i="255"/>
  <c r="C14" i="255"/>
  <c r="D14" i="255"/>
  <c r="E14" i="255"/>
  <c r="F14" i="255"/>
  <c r="F7" i="127" s="1"/>
  <c r="G14" i="255"/>
  <c r="H14" i="255"/>
  <c r="I14" i="255"/>
  <c r="J14" i="255"/>
  <c r="J7" i="127"/>
  <c r="K14" i="255"/>
  <c r="L14" i="255"/>
  <c r="A16" i="255"/>
  <c r="A17" i="255"/>
  <c r="A18" i="255"/>
  <c r="C19" i="255"/>
  <c r="D19" i="255"/>
  <c r="E19" i="255"/>
  <c r="F19" i="255"/>
  <c r="F8" i="127"/>
  <c r="G47" i="123" s="1"/>
  <c r="G19" i="255"/>
  <c r="G8" i="127" s="1"/>
  <c r="H47" i="123" s="1"/>
  <c r="H19" i="255"/>
  <c r="I19" i="255"/>
  <c r="J19" i="255"/>
  <c r="J8" i="127"/>
  <c r="O8" i="137" s="1"/>
  <c r="K19" i="255"/>
  <c r="L19" i="255"/>
  <c r="A21" i="255"/>
  <c r="A22" i="255" s="1"/>
  <c r="A23" i="255"/>
  <c r="C24" i="255"/>
  <c r="D24" i="255"/>
  <c r="E24" i="255"/>
  <c r="F24" i="255"/>
  <c r="F9" i="127" s="1"/>
  <c r="G48" i="123" s="1"/>
  <c r="G24" i="255"/>
  <c r="H24" i="255"/>
  <c r="I24" i="255"/>
  <c r="J24" i="255"/>
  <c r="J9" i="127" s="1"/>
  <c r="K48" i="123" s="1"/>
  <c r="K24" i="255"/>
  <c r="L24" i="255"/>
  <c r="A26" i="255"/>
  <c r="A30" i="255" s="1"/>
  <c r="A29" i="255"/>
  <c r="C30" i="255"/>
  <c r="D30" i="255"/>
  <c r="E30" i="255"/>
  <c r="F30" i="255"/>
  <c r="F10" i="127" s="1"/>
  <c r="G49" i="123" s="1"/>
  <c r="G30" i="255"/>
  <c r="H30" i="255"/>
  <c r="I30" i="255"/>
  <c r="J30" i="255"/>
  <c r="J10" i="127" s="1"/>
  <c r="K30" i="255"/>
  <c r="L30" i="255"/>
  <c r="C45" i="255"/>
  <c r="D45" i="255"/>
  <c r="D20" i="127"/>
  <c r="E45" i="255"/>
  <c r="E20" i="127" s="1"/>
  <c r="F45" i="255"/>
  <c r="G45" i="255"/>
  <c r="H45" i="255"/>
  <c r="I45" i="255"/>
  <c r="J45" i="255"/>
  <c r="J20" i="127"/>
  <c r="K45" i="255"/>
  <c r="L45" i="255"/>
  <c r="L20" i="127" s="1"/>
  <c r="A48" i="255"/>
  <c r="A63" i="255" s="1"/>
  <c r="C61" i="255"/>
  <c r="C63" i="255" s="1"/>
  <c r="D61" i="255"/>
  <c r="D63" i="255" s="1"/>
  <c r="E61" i="255"/>
  <c r="F61" i="255"/>
  <c r="F63" i="255"/>
  <c r="G35" i="338" s="1"/>
  <c r="G34" i="338" s="1"/>
  <c r="G61" i="255"/>
  <c r="G63" i="255"/>
  <c r="H61" i="255"/>
  <c r="H63" i="255"/>
  <c r="I35" i="338" s="1"/>
  <c r="I34" i="338" s="1"/>
  <c r="I61" i="255"/>
  <c r="I63" i="255"/>
  <c r="J35" i="338" s="1"/>
  <c r="J34" i="338" s="1"/>
  <c r="J61" i="255"/>
  <c r="J63" i="255"/>
  <c r="K61" i="255"/>
  <c r="K63" i="255"/>
  <c r="L61" i="255"/>
  <c r="L63" i="255"/>
  <c r="M35" i="338" s="1"/>
  <c r="M34" i="338" s="1"/>
  <c r="E63" i="255"/>
  <c r="F35" i="338"/>
  <c r="F34" i="338" s="1"/>
  <c r="A72" i="255"/>
  <c r="C72" i="255"/>
  <c r="C40" i="127"/>
  <c r="D72" i="255"/>
  <c r="E72" i="255"/>
  <c r="F72" i="255"/>
  <c r="G72" i="255"/>
  <c r="G40" i="127" s="1"/>
  <c r="H72" i="255"/>
  <c r="H40" i="127" s="1"/>
  <c r="I72" i="255"/>
  <c r="J72" i="255"/>
  <c r="K72" i="255"/>
  <c r="K40" i="127" s="1"/>
  <c r="L72" i="255"/>
  <c r="L40" i="127" s="1"/>
  <c r="A74" i="255"/>
  <c r="A79" i="255" s="1"/>
  <c r="C79" i="255"/>
  <c r="D79" i="255"/>
  <c r="D28" i="127"/>
  <c r="E79" i="255"/>
  <c r="E28" i="127"/>
  <c r="F79" i="255"/>
  <c r="F28" i="127"/>
  <c r="G79" i="255"/>
  <c r="H79" i="255"/>
  <c r="H28" i="127" s="1"/>
  <c r="I79" i="255"/>
  <c r="I28" i="127" s="1"/>
  <c r="H13" i="86" s="1"/>
  <c r="J79" i="255"/>
  <c r="K79" i="255"/>
  <c r="K28" i="127" s="1"/>
  <c r="L79" i="255"/>
  <c r="A81" i="255"/>
  <c r="C84" i="255"/>
  <c r="D84" i="255"/>
  <c r="D30" i="127"/>
  <c r="E84" i="255"/>
  <c r="F84" i="255"/>
  <c r="G84" i="255"/>
  <c r="G30" i="127"/>
  <c r="H84" i="255"/>
  <c r="H30" i="127"/>
  <c r="I84" i="255"/>
  <c r="J84" i="255"/>
  <c r="K84" i="255"/>
  <c r="L84" i="255"/>
  <c r="L30" i="127" s="1"/>
  <c r="A91" i="255"/>
  <c r="C117" i="255"/>
  <c r="C123" i="255" s="1"/>
  <c r="C32" i="127" s="1"/>
  <c r="D117" i="255"/>
  <c r="D123" i="255"/>
  <c r="E117" i="255"/>
  <c r="F117" i="255"/>
  <c r="G117" i="255"/>
  <c r="G123" i="255" s="1"/>
  <c r="G32" i="127" s="1"/>
  <c r="H117" i="255"/>
  <c r="H123" i="255" s="1"/>
  <c r="I117" i="255"/>
  <c r="J117" i="255"/>
  <c r="K117" i="255"/>
  <c r="K123" i="255" s="1"/>
  <c r="K32" i="127" s="1"/>
  <c r="L117" i="255"/>
  <c r="L123" i="255" s="1"/>
  <c r="L32" i="127" s="1"/>
  <c r="E123" i="255"/>
  <c r="F123" i="255"/>
  <c r="I123" i="255"/>
  <c r="J123" i="255"/>
  <c r="J32" i="127" s="1"/>
  <c r="C153" i="255"/>
  <c r="C34" i="127" s="1"/>
  <c r="D153" i="255"/>
  <c r="E153" i="255"/>
  <c r="E34" i="127"/>
  <c r="F153" i="255"/>
  <c r="F34" i="127"/>
  <c r="G153" i="255"/>
  <c r="J153" i="255"/>
  <c r="J34" i="127" s="1"/>
  <c r="K153" i="255"/>
  <c r="K34" i="127" s="1"/>
  <c r="L153" i="255"/>
  <c r="L34" i="127" s="1"/>
  <c r="C160" i="255"/>
  <c r="D160" i="255"/>
  <c r="E160" i="255"/>
  <c r="F160" i="255"/>
  <c r="G160" i="255"/>
  <c r="H160" i="255"/>
  <c r="I160" i="255"/>
  <c r="J160" i="255"/>
  <c r="K160" i="255"/>
  <c r="L160" i="255"/>
  <c r="A165" i="255"/>
  <c r="A2" i="253"/>
  <c r="B2" i="253"/>
  <c r="C3" i="253"/>
  <c r="D3" i="253"/>
  <c r="E3" i="253"/>
  <c r="F3" i="253"/>
  <c r="G3" i="253"/>
  <c r="H3" i="253"/>
  <c r="C10" i="253"/>
  <c r="D10" i="253"/>
  <c r="E10" i="253"/>
  <c r="F10" i="253"/>
  <c r="G10" i="253"/>
  <c r="H10" i="253"/>
  <c r="I10" i="253"/>
  <c r="J10" i="253"/>
  <c r="K10" i="253"/>
  <c r="B12" i="253"/>
  <c r="C14" i="253"/>
  <c r="B62" i="86"/>
  <c r="D14" i="253"/>
  <c r="C62" i="86"/>
  <c r="E14" i="253"/>
  <c r="F14" i="253"/>
  <c r="G14" i="253"/>
  <c r="H14" i="253"/>
  <c r="H15" i="253" s="1"/>
  <c r="I14" i="253"/>
  <c r="J14" i="253"/>
  <c r="K14" i="253"/>
  <c r="A22" i="253"/>
  <c r="C22" i="253"/>
  <c r="D22" i="253"/>
  <c r="E22" i="253"/>
  <c r="F22" i="253"/>
  <c r="G22" i="253"/>
  <c r="H22" i="253"/>
  <c r="I22" i="253"/>
  <c r="J22" i="253"/>
  <c r="K22" i="253"/>
  <c r="A26" i="253"/>
  <c r="C26" i="253"/>
  <c r="D26" i="253"/>
  <c r="E26" i="253"/>
  <c r="F26" i="253"/>
  <c r="F27" i="253" s="1"/>
  <c r="G26" i="253"/>
  <c r="H26" i="253"/>
  <c r="G63" i="86" s="1"/>
  <c r="I26" i="253"/>
  <c r="J26" i="253"/>
  <c r="K26" i="253"/>
  <c r="A27" i="253"/>
  <c r="B27" i="253"/>
  <c r="A31" i="253"/>
  <c r="C31" i="253"/>
  <c r="D31" i="253"/>
  <c r="E31" i="253"/>
  <c r="F31" i="253"/>
  <c r="G31" i="253"/>
  <c r="H31" i="253"/>
  <c r="I31" i="253"/>
  <c r="J31" i="253"/>
  <c r="K31" i="253"/>
  <c r="A35" i="253"/>
  <c r="C35" i="253"/>
  <c r="D35" i="253"/>
  <c r="E35" i="253"/>
  <c r="D64" i="86"/>
  <c r="F35" i="253"/>
  <c r="G35" i="253"/>
  <c r="H35" i="253"/>
  <c r="H36" i="253" s="1"/>
  <c r="G64" i="86"/>
  <c r="I35" i="253"/>
  <c r="I36" i="253" s="1"/>
  <c r="J35" i="253"/>
  <c r="J36" i="253" s="1"/>
  <c r="K35" i="253"/>
  <c r="A36" i="253"/>
  <c r="B36" i="253"/>
  <c r="E36" i="253"/>
  <c r="A39" i="253"/>
  <c r="C39" i="253"/>
  <c r="D39" i="253"/>
  <c r="E39" i="253"/>
  <c r="F39" i="253"/>
  <c r="G39" i="253"/>
  <c r="H39" i="253"/>
  <c r="I39" i="253"/>
  <c r="J39" i="253"/>
  <c r="K39" i="253"/>
  <c r="A45" i="253"/>
  <c r="C45" i="253"/>
  <c r="B65" i="86"/>
  <c r="D45" i="253"/>
  <c r="E45" i="253"/>
  <c r="F45" i="253"/>
  <c r="G45" i="253"/>
  <c r="F65" i="86" s="1"/>
  <c r="H45" i="253"/>
  <c r="I45" i="253"/>
  <c r="J45" i="253"/>
  <c r="K45" i="253"/>
  <c r="K65" i="86"/>
  <c r="A46" i="253"/>
  <c r="B46" i="253"/>
  <c r="J46" i="253"/>
  <c r="C59" i="253"/>
  <c r="D59" i="253"/>
  <c r="E126" i="123"/>
  <c r="E59" i="253"/>
  <c r="F126" i="123"/>
  <c r="F59" i="253"/>
  <c r="G126" i="123"/>
  <c r="G59" i="253"/>
  <c r="H126" i="123"/>
  <c r="H59" i="253"/>
  <c r="I126" i="123"/>
  <c r="I59" i="253"/>
  <c r="K126" i="123"/>
  <c r="J59" i="253"/>
  <c r="L126" i="123"/>
  <c r="K59" i="253"/>
  <c r="M126" i="123"/>
  <c r="C78" i="253"/>
  <c r="B60" i="86"/>
  <c r="D78" i="253"/>
  <c r="E78" i="253"/>
  <c r="F78" i="253"/>
  <c r="G78" i="253"/>
  <c r="F60" i="86" s="1"/>
  <c r="H78" i="253"/>
  <c r="I78" i="253"/>
  <c r="J78" i="253"/>
  <c r="K78" i="253"/>
  <c r="M52" i="338"/>
  <c r="M49" i="338" s="1"/>
  <c r="A79" i="253"/>
  <c r="A2" i="248"/>
  <c r="B2" i="248"/>
  <c r="C3" i="248"/>
  <c r="D3" i="248"/>
  <c r="E3" i="248"/>
  <c r="F3" i="248"/>
  <c r="G3" i="248"/>
  <c r="H3" i="248"/>
  <c r="D6" i="248"/>
  <c r="F6" i="248"/>
  <c r="H6" i="248"/>
  <c r="J6" i="248"/>
  <c r="C7" i="248"/>
  <c r="E7" i="248"/>
  <c r="G7" i="248"/>
  <c r="I7" i="248"/>
  <c r="K7" i="248"/>
  <c r="D8" i="248"/>
  <c r="F8" i="248"/>
  <c r="G8" i="248"/>
  <c r="H8" i="248"/>
  <c r="J8" i="248"/>
  <c r="C9" i="248"/>
  <c r="E9" i="248"/>
  <c r="G9" i="248"/>
  <c r="I9" i="248"/>
  <c r="J9" i="248"/>
  <c r="K9" i="248"/>
  <c r="K39" i="248" s="1"/>
  <c r="D10" i="248"/>
  <c r="E10" i="248"/>
  <c r="F10" i="248"/>
  <c r="H10" i="248"/>
  <c r="J10" i="248"/>
  <c r="J40" i="248" s="1"/>
  <c r="K10" i="248"/>
  <c r="C12" i="248"/>
  <c r="E12" i="248"/>
  <c r="F12" i="248"/>
  <c r="G12" i="248"/>
  <c r="I12" i="248"/>
  <c r="J12" i="248"/>
  <c r="K12" i="248"/>
  <c r="D13" i="248"/>
  <c r="E13" i="248"/>
  <c r="F13" i="248"/>
  <c r="H13" i="248"/>
  <c r="I13" i="248"/>
  <c r="J13" i="248"/>
  <c r="C14" i="248"/>
  <c r="D14" i="248"/>
  <c r="E14" i="248"/>
  <c r="G14" i="248"/>
  <c r="H14" i="248"/>
  <c r="I14" i="248"/>
  <c r="K14" i="248"/>
  <c r="C16" i="248"/>
  <c r="D16" i="248"/>
  <c r="E16" i="248"/>
  <c r="E46" i="248"/>
  <c r="G16" i="248"/>
  <c r="H16" i="248"/>
  <c r="K16" i="248"/>
  <c r="A17" i="248"/>
  <c r="A32" i="248" s="1"/>
  <c r="A47" i="248" s="1"/>
  <c r="C17" i="248"/>
  <c r="E17" i="248"/>
  <c r="F17" i="248"/>
  <c r="G17" i="248"/>
  <c r="I17" i="248"/>
  <c r="J17" i="248"/>
  <c r="K17" i="248"/>
  <c r="A18" i="248"/>
  <c r="H9" i="339" s="1"/>
  <c r="C18" i="248"/>
  <c r="E18" i="248"/>
  <c r="F18" i="248"/>
  <c r="I18" i="248"/>
  <c r="J18" i="248"/>
  <c r="D21" i="248"/>
  <c r="E21" i="248"/>
  <c r="F21" i="248"/>
  <c r="H21" i="248"/>
  <c r="H36" i="248" s="1"/>
  <c r="I21" i="248"/>
  <c r="J21" i="248"/>
  <c r="C22" i="248"/>
  <c r="D22" i="248"/>
  <c r="E22" i="248"/>
  <c r="G22" i="248"/>
  <c r="G37" i="248"/>
  <c r="H22" i="248"/>
  <c r="I22" i="248"/>
  <c r="K22" i="248"/>
  <c r="C23" i="248"/>
  <c r="D23" i="248"/>
  <c r="F23" i="248"/>
  <c r="G23" i="248"/>
  <c r="H23" i="248"/>
  <c r="J23" i="248"/>
  <c r="K23" i="248"/>
  <c r="C24" i="248"/>
  <c r="E24" i="248"/>
  <c r="F24" i="248"/>
  <c r="G24" i="248"/>
  <c r="I24" i="248"/>
  <c r="J24" i="248"/>
  <c r="D25" i="248"/>
  <c r="E25" i="248"/>
  <c r="H25" i="248"/>
  <c r="A26" i="248"/>
  <c r="C27" i="248"/>
  <c r="E27" i="248"/>
  <c r="G27" i="248"/>
  <c r="I27" i="248"/>
  <c r="J27" i="248"/>
  <c r="K27" i="248"/>
  <c r="D28" i="248"/>
  <c r="F28" i="248"/>
  <c r="H28" i="248"/>
  <c r="J28" i="248"/>
  <c r="C29" i="248"/>
  <c r="E29" i="248"/>
  <c r="G29" i="248"/>
  <c r="I29" i="248"/>
  <c r="J29" i="248"/>
  <c r="D31" i="248"/>
  <c r="F31" i="248"/>
  <c r="F46" i="248" s="1"/>
  <c r="H31" i="248"/>
  <c r="J31" i="248"/>
  <c r="C32" i="248"/>
  <c r="E32" i="248"/>
  <c r="G32" i="248"/>
  <c r="I32" i="248"/>
  <c r="K32" i="248"/>
  <c r="D33" i="248"/>
  <c r="F33" i="248"/>
  <c r="G33" i="248"/>
  <c r="H33" i="248"/>
  <c r="J33" i="248"/>
  <c r="K33" i="248"/>
  <c r="A41" i="248"/>
  <c r="A57" i="248"/>
  <c r="A42" i="248"/>
  <c r="A12" i="248"/>
  <c r="A43" i="248"/>
  <c r="A13" i="248"/>
  <c r="A44" i="248"/>
  <c r="A14" i="248"/>
  <c r="A45" i="248"/>
  <c r="A15" i="248"/>
  <c r="C57" i="248"/>
  <c r="D57" i="248"/>
  <c r="E57" i="248"/>
  <c r="F57" i="248"/>
  <c r="G57" i="248"/>
  <c r="H57" i="248"/>
  <c r="I57" i="248"/>
  <c r="J57" i="248"/>
  <c r="K57" i="248"/>
  <c r="C60" i="248"/>
  <c r="D60" i="248"/>
  <c r="E60" i="248"/>
  <c r="F60" i="248"/>
  <c r="G60" i="248"/>
  <c r="H60" i="248"/>
  <c r="I60" i="248"/>
  <c r="J60" i="248"/>
  <c r="K60" i="248"/>
  <c r="C62" i="248"/>
  <c r="D62" i="248"/>
  <c r="E62" i="248"/>
  <c r="F62" i="248"/>
  <c r="G62" i="248"/>
  <c r="H62" i="248"/>
  <c r="I62" i="248"/>
  <c r="J62" i="248"/>
  <c r="K62" i="248"/>
  <c r="C63" i="248"/>
  <c r="D63" i="248"/>
  <c r="E63" i="248"/>
  <c r="F63" i="248"/>
  <c r="G63" i="248"/>
  <c r="H63" i="248"/>
  <c r="I63" i="248"/>
  <c r="J63" i="248"/>
  <c r="K63" i="248"/>
  <c r="C64" i="248"/>
  <c r="D64" i="248"/>
  <c r="E64" i="248"/>
  <c r="F64" i="248"/>
  <c r="G64" i="248"/>
  <c r="H64" i="248"/>
  <c r="I64" i="248"/>
  <c r="J64" i="248"/>
  <c r="K64" i="248"/>
  <c r="A68" i="248"/>
  <c r="C70" i="248"/>
  <c r="D70" i="248"/>
  <c r="F70" i="248"/>
  <c r="G70" i="248"/>
  <c r="H70" i="248"/>
  <c r="J70" i="248"/>
  <c r="C71" i="248"/>
  <c r="E71" i="248"/>
  <c r="F71" i="248"/>
  <c r="G71" i="248"/>
  <c r="I71" i="248"/>
  <c r="J71" i="248"/>
  <c r="K71" i="248"/>
  <c r="D72" i="248"/>
  <c r="E72" i="248"/>
  <c r="F72" i="248"/>
  <c r="G72" i="248"/>
  <c r="H72" i="248"/>
  <c r="I72" i="248"/>
  <c r="J72" i="248"/>
  <c r="K72" i="248"/>
  <c r="C73" i="248"/>
  <c r="D73" i="248"/>
  <c r="E73" i="248"/>
  <c r="F73" i="248"/>
  <c r="G73" i="248"/>
  <c r="H73" i="248"/>
  <c r="I73" i="248"/>
  <c r="J73" i="248"/>
  <c r="K73" i="248"/>
  <c r="C74" i="248"/>
  <c r="D74" i="248"/>
  <c r="E74" i="248"/>
  <c r="F74" i="248"/>
  <c r="G74" i="248"/>
  <c r="H74" i="248"/>
  <c r="I74" i="248"/>
  <c r="J74" i="248"/>
  <c r="K74" i="248"/>
  <c r="A75" i="248"/>
  <c r="C76" i="248"/>
  <c r="D76" i="248"/>
  <c r="E76" i="248"/>
  <c r="F76" i="248"/>
  <c r="G76" i="248"/>
  <c r="H76" i="248"/>
  <c r="I76" i="248"/>
  <c r="J76" i="248"/>
  <c r="K76" i="248"/>
  <c r="C77" i="248"/>
  <c r="D77" i="248"/>
  <c r="E77" i="248"/>
  <c r="F77" i="248"/>
  <c r="G77" i="248"/>
  <c r="H77" i="248"/>
  <c r="I77" i="248"/>
  <c r="J77" i="248"/>
  <c r="K77" i="248"/>
  <c r="C78" i="248"/>
  <c r="D78" i="248"/>
  <c r="E78" i="248"/>
  <c r="F78" i="248"/>
  <c r="G78" i="248"/>
  <c r="H78" i="248"/>
  <c r="I78" i="248"/>
  <c r="J78" i="248"/>
  <c r="K78" i="248"/>
  <c r="C79" i="248"/>
  <c r="D79" i="248"/>
  <c r="G79" i="248"/>
  <c r="K79" i="248"/>
  <c r="A87"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A18" i="237"/>
  <c r="A20" i="237"/>
  <c r="C31" i="237"/>
  <c r="D31" i="237"/>
  <c r="E31" i="237"/>
  <c r="F31" i="237"/>
  <c r="G31" i="237"/>
  <c r="H31" i="237"/>
  <c r="I31" i="237"/>
  <c r="J31" i="237"/>
  <c r="K31" i="237"/>
  <c r="L31" i="237"/>
  <c r="A40" i="237"/>
  <c r="C52" i="237"/>
  <c r="C16" i="237"/>
  <c r="D52" i="237"/>
  <c r="D16" i="237"/>
  <c r="E52" i="237"/>
  <c r="E16" i="237"/>
  <c r="F52" i="237"/>
  <c r="F16" i="237"/>
  <c r="G52" i="237"/>
  <c r="G16" i="237"/>
  <c r="H52" i="237"/>
  <c r="H16" i="237"/>
  <c r="I52" i="237"/>
  <c r="I16" i="237"/>
  <c r="J52" i="237"/>
  <c r="J16" i="237"/>
  <c r="K52" i="237"/>
  <c r="K16" i="237"/>
  <c r="L52" i="237"/>
  <c r="L16" i="237" s="1"/>
  <c r="A53" i="237"/>
  <c r="A54" i="237"/>
  <c r="C54" i="237"/>
  <c r="D54" i="237"/>
  <c r="E54" i="237"/>
  <c r="F54" i="237"/>
  <c r="G54" i="237"/>
  <c r="H54" i="237"/>
  <c r="I54" i="237"/>
  <c r="J54" i="237"/>
  <c r="K54" i="237"/>
  <c r="L54" i="237"/>
  <c r="A55" i="237"/>
  <c r="A56" i="237"/>
  <c r="C67" i="237"/>
  <c r="D67" i="237"/>
  <c r="E67" i="237"/>
  <c r="F67" i="237"/>
  <c r="G67" i="237"/>
  <c r="H67" i="237"/>
  <c r="I67" i="237"/>
  <c r="J67" i="237"/>
  <c r="K67" i="237"/>
  <c r="L67" i="237"/>
  <c r="A2" i="131"/>
  <c r="B2" i="131"/>
  <c r="C3" i="131"/>
  <c r="D3" i="131"/>
  <c r="E3" i="131"/>
  <c r="F3" i="131"/>
  <c r="G3" i="131"/>
  <c r="H3" i="131"/>
  <c r="I3" i="131"/>
  <c r="C15" i="131"/>
  <c r="D15" i="131"/>
  <c r="C42" i="86" s="1"/>
  <c r="E15" i="131"/>
  <c r="D42" i="86" s="1"/>
  <c r="F15" i="131"/>
  <c r="E42" i="86" s="1"/>
  <c r="G15" i="131"/>
  <c r="H15" i="131"/>
  <c r="I15" i="131"/>
  <c r="H42" i="86" s="1"/>
  <c r="J15" i="131"/>
  <c r="I42" i="86" s="1"/>
  <c r="K15" i="131"/>
  <c r="L15" i="131"/>
  <c r="C25" i="131"/>
  <c r="B43" i="86" s="1"/>
  <c r="D25" i="131"/>
  <c r="C43" i="86" s="1"/>
  <c r="E25" i="131"/>
  <c r="F25" i="131"/>
  <c r="G25" i="131"/>
  <c r="H25" i="131"/>
  <c r="G43" i="86"/>
  <c r="I25" i="131"/>
  <c r="J25" i="131"/>
  <c r="K25" i="131"/>
  <c r="L25" i="131"/>
  <c r="K43" i="86" s="1"/>
  <c r="C34" i="131"/>
  <c r="D34" i="131"/>
  <c r="E34" i="131"/>
  <c r="D44" i="86" s="1"/>
  <c r="F34" i="131"/>
  <c r="G34" i="131"/>
  <c r="H34" i="131"/>
  <c r="I34" i="131"/>
  <c r="H44" i="86"/>
  <c r="J34" i="131"/>
  <c r="I44" i="86"/>
  <c r="K34" i="131"/>
  <c r="L34" i="131"/>
  <c r="I37" i="131"/>
  <c r="A39" i="131"/>
  <c r="C43" i="131"/>
  <c r="D43" i="131"/>
  <c r="E43" i="131"/>
  <c r="F43" i="131"/>
  <c r="G43" i="131"/>
  <c r="H43" i="131"/>
  <c r="I43" i="131"/>
  <c r="J43" i="131"/>
  <c r="K43" i="131"/>
  <c r="L43" i="131"/>
  <c r="C44" i="131"/>
  <c r="C45" i="131"/>
  <c r="D44" i="131"/>
  <c r="E44" i="131"/>
  <c r="F44" i="131"/>
  <c r="G44" i="131"/>
  <c r="G45" i="131" s="1"/>
  <c r="H44" i="131"/>
  <c r="I44" i="131"/>
  <c r="J44" i="131"/>
  <c r="K44" i="131"/>
  <c r="K45" i="131"/>
  <c r="L44" i="131"/>
  <c r="C46" i="131"/>
  <c r="D46" i="131"/>
  <c r="E46" i="131"/>
  <c r="F46" i="131"/>
  <c r="G46" i="131"/>
  <c r="H46" i="131"/>
  <c r="I46" i="131"/>
  <c r="J46" i="131"/>
  <c r="K46" i="131"/>
  <c r="L46" i="131"/>
  <c r="A47" i="131"/>
  <c r="C47" i="131"/>
  <c r="D47" i="131"/>
  <c r="E47" i="131"/>
  <c r="F47" i="131"/>
  <c r="G47" i="131"/>
  <c r="H47" i="131"/>
  <c r="I47" i="131"/>
  <c r="J47" i="131"/>
  <c r="K47" i="131"/>
  <c r="L47" i="131"/>
  <c r="A2" i="129"/>
  <c r="B2" i="129"/>
  <c r="C3" i="129"/>
  <c r="D3" i="129"/>
  <c r="E3" i="129"/>
  <c r="F3" i="129"/>
  <c r="G3" i="129"/>
  <c r="H3" i="129"/>
  <c r="I3" i="129"/>
  <c r="C7" i="129"/>
  <c r="D7" i="129"/>
  <c r="G7" i="129"/>
  <c r="H7" i="129"/>
  <c r="I7" i="129"/>
  <c r="C19" i="129"/>
  <c r="C24" i="129"/>
  <c r="D19" i="129"/>
  <c r="D24" i="129"/>
  <c r="H19" i="129"/>
  <c r="H24" i="129"/>
  <c r="G36" i="86" s="1"/>
  <c r="I19" i="129"/>
  <c r="I24" i="129" s="1"/>
  <c r="K19" i="129"/>
  <c r="K24" i="129" s="1"/>
  <c r="J36" i="86" s="1"/>
  <c r="L19" i="129"/>
  <c r="L24" i="129"/>
  <c r="D30" i="129"/>
  <c r="E30" i="129"/>
  <c r="I30" i="129"/>
  <c r="I34" i="129" s="1"/>
  <c r="L30" i="129"/>
  <c r="F32" i="129"/>
  <c r="J32" i="129"/>
  <c r="C37" i="129"/>
  <c r="G37" i="129"/>
  <c r="G39" i="129" s="1"/>
  <c r="H37" i="129"/>
  <c r="K37" i="129"/>
  <c r="D38" i="129"/>
  <c r="E38" i="129"/>
  <c r="H38" i="129"/>
  <c r="L38" i="129"/>
  <c r="C46" i="129"/>
  <c r="C48" i="129"/>
  <c r="E46" i="129"/>
  <c r="F46" i="129"/>
  <c r="F48" i="129" s="1"/>
  <c r="I46" i="129"/>
  <c r="J46" i="129"/>
  <c r="J48" i="129" s="1"/>
  <c r="E48" i="129"/>
  <c r="A49" i="129"/>
  <c r="A2" i="343"/>
  <c r="B2" i="343"/>
  <c r="C3" i="343"/>
  <c r="D3" i="343"/>
  <c r="E3" i="343"/>
  <c r="F3" i="343"/>
  <c r="G3" i="343"/>
  <c r="H3" i="343"/>
  <c r="I3" i="343"/>
  <c r="C6" i="343"/>
  <c r="D6" i="343"/>
  <c r="D6" i="126"/>
  <c r="F6" i="343"/>
  <c r="G6" i="343"/>
  <c r="H6" i="343"/>
  <c r="I6" i="343"/>
  <c r="I6" i="126" s="1"/>
  <c r="N6" i="343"/>
  <c r="O6" i="343"/>
  <c r="P6" i="343"/>
  <c r="R6" i="343"/>
  <c r="S6" i="343"/>
  <c r="T6" i="343"/>
  <c r="A7" i="343"/>
  <c r="A176" i="343" s="1"/>
  <c r="L7" i="343"/>
  <c r="Q7" i="343"/>
  <c r="U7" i="343"/>
  <c r="K7" i="343" s="1"/>
  <c r="A8" i="343"/>
  <c r="A177" i="343" s="1"/>
  <c r="L8" i="343"/>
  <c r="Q8" i="343"/>
  <c r="J8" i="343"/>
  <c r="U8" i="343"/>
  <c r="K8" i="343"/>
  <c r="A9" i="343"/>
  <c r="A178" i="343"/>
  <c r="L9" i="343"/>
  <c r="Q9" i="343"/>
  <c r="J9" i="343" s="1"/>
  <c r="U9" i="343"/>
  <c r="K9" i="343" s="1"/>
  <c r="A10" i="343"/>
  <c r="A179" i="343" s="1"/>
  <c r="L10" i="343"/>
  <c r="Q10" i="343"/>
  <c r="J10" i="343"/>
  <c r="U10" i="343"/>
  <c r="K10" i="343"/>
  <c r="K6" i="126"/>
  <c r="P5" i="140"/>
  <c r="A11" i="343"/>
  <c r="A180" i="343"/>
  <c r="L11" i="343"/>
  <c r="Q11" i="343"/>
  <c r="J11" i="343" s="1"/>
  <c r="U11" i="343"/>
  <c r="K11" i="343" s="1"/>
  <c r="A12" i="343"/>
  <c r="A181" i="343" s="1"/>
  <c r="Q12" i="343"/>
  <c r="U12" i="343"/>
  <c r="A13" i="343"/>
  <c r="A182" i="343" s="1"/>
  <c r="L13" i="343"/>
  <c r="Q13" i="343"/>
  <c r="J13" i="343"/>
  <c r="U13" i="343"/>
  <c r="K13" i="343"/>
  <c r="A14" i="343"/>
  <c r="A183" i="343"/>
  <c r="L14" i="343"/>
  <c r="Q14" i="343"/>
  <c r="J14" i="343" s="1"/>
  <c r="U14" i="343"/>
  <c r="K14" i="343" s="1"/>
  <c r="A15" i="343"/>
  <c r="A184" i="343" s="1"/>
  <c r="L15" i="343"/>
  <c r="Q15" i="343"/>
  <c r="J15" i="343"/>
  <c r="U15" i="343"/>
  <c r="K15" i="343"/>
  <c r="A16" i="343"/>
  <c r="A185" i="343"/>
  <c r="L16" i="343"/>
  <c r="Q16" i="343"/>
  <c r="J16" i="343" s="1"/>
  <c r="U16" i="343"/>
  <c r="K16" i="343" s="1"/>
  <c r="C17" i="343"/>
  <c r="C7" i="126" s="1"/>
  <c r="D17" i="343"/>
  <c r="D7" i="126" s="1"/>
  <c r="E17" i="343"/>
  <c r="E7" i="126" s="1"/>
  <c r="F17" i="343"/>
  <c r="F7" i="126" s="1"/>
  <c r="G17" i="343"/>
  <c r="G7" i="126" s="1"/>
  <c r="H17" i="343"/>
  <c r="H7" i="126" s="1"/>
  <c r="I17" i="343"/>
  <c r="I7" i="126" s="1"/>
  <c r="N17" i="343"/>
  <c r="O17" i="343"/>
  <c r="P17" i="343"/>
  <c r="R17" i="343"/>
  <c r="S17" i="343"/>
  <c r="T17" i="343"/>
  <c r="V17" i="343"/>
  <c r="W17" i="343"/>
  <c r="X17" i="343"/>
  <c r="A18" i="343"/>
  <c r="A187" i="343"/>
  <c r="L18" i="343"/>
  <c r="Q18" i="343"/>
  <c r="J18" i="343" s="1"/>
  <c r="U18" i="343"/>
  <c r="K18" i="343" s="1"/>
  <c r="A19" i="343"/>
  <c r="A188" i="343" s="1"/>
  <c r="L19" i="343"/>
  <c r="Q19" i="343"/>
  <c r="J19" i="343"/>
  <c r="U19" i="343"/>
  <c r="K19" i="343"/>
  <c r="A20" i="343"/>
  <c r="A189" i="343"/>
  <c r="L20" i="343"/>
  <c r="Q20" i="343"/>
  <c r="J20" i="343" s="1"/>
  <c r="U20" i="343"/>
  <c r="K20" i="343" s="1"/>
  <c r="A21" i="343"/>
  <c r="L21" i="343"/>
  <c r="Q21" i="343"/>
  <c r="U21" i="343"/>
  <c r="K21" i="343" s="1"/>
  <c r="A22" i="343"/>
  <c r="A191" i="343" s="1"/>
  <c r="L22" i="343"/>
  <c r="Q22" i="343"/>
  <c r="J22" i="343"/>
  <c r="U22" i="343"/>
  <c r="K22" i="343"/>
  <c r="A23" i="343"/>
  <c r="A192" i="343"/>
  <c r="L23" i="343"/>
  <c r="Q23" i="343"/>
  <c r="J23" i="343" s="1"/>
  <c r="U23" i="343"/>
  <c r="K23" i="343" s="1"/>
  <c r="A24" i="343"/>
  <c r="A193" i="343" s="1"/>
  <c r="L24" i="343"/>
  <c r="Q24" i="343"/>
  <c r="J24" i="343"/>
  <c r="U24" i="343"/>
  <c r="K24" i="343"/>
  <c r="A25" i="343"/>
  <c r="A194" i="343"/>
  <c r="L25" i="343"/>
  <c r="Q25" i="343"/>
  <c r="J25" i="343" s="1"/>
  <c r="U25" i="343"/>
  <c r="K25" i="343" s="1"/>
  <c r="A26" i="343"/>
  <c r="A195" i="343" s="1"/>
  <c r="L26" i="343"/>
  <c r="Q26" i="343"/>
  <c r="J26" i="343"/>
  <c r="U26" i="343"/>
  <c r="K26" i="343"/>
  <c r="A27" i="343"/>
  <c r="A196" i="343"/>
  <c r="L27" i="343"/>
  <c r="Q27" i="343"/>
  <c r="J27" i="343" s="1"/>
  <c r="U27" i="343"/>
  <c r="K27" i="343" s="1"/>
  <c r="C28" i="343"/>
  <c r="C8" i="126" s="1"/>
  <c r="D28" i="343"/>
  <c r="E28" i="343"/>
  <c r="F28" i="343"/>
  <c r="F8" i="126" s="1"/>
  <c r="G28" i="343"/>
  <c r="H28" i="343"/>
  <c r="I28" i="343"/>
  <c r="N28" i="343"/>
  <c r="O28" i="343"/>
  <c r="P28" i="343"/>
  <c r="R28" i="343"/>
  <c r="S28" i="343"/>
  <c r="T28" i="343"/>
  <c r="V28" i="343"/>
  <c r="W28" i="343"/>
  <c r="X28" i="343"/>
  <c r="A29" i="343"/>
  <c r="A198" i="343"/>
  <c r="L29" i="343"/>
  <c r="Q29" i="343"/>
  <c r="J29" i="343" s="1"/>
  <c r="U29" i="343"/>
  <c r="A30" i="343"/>
  <c r="A199" i="343"/>
  <c r="L30" i="343"/>
  <c r="Q30" i="343"/>
  <c r="J30" i="343" s="1"/>
  <c r="U30" i="343"/>
  <c r="K30" i="343" s="1"/>
  <c r="A31" i="343"/>
  <c r="A200" i="343" s="1"/>
  <c r="L31" i="343"/>
  <c r="Q31" i="343"/>
  <c r="J31" i="343"/>
  <c r="U31" i="343"/>
  <c r="K31" i="343"/>
  <c r="A32" i="343"/>
  <c r="A201" i="343"/>
  <c r="L32" i="343"/>
  <c r="Q32" i="343"/>
  <c r="U32" i="343"/>
  <c r="K32" i="343"/>
  <c r="A33" i="343"/>
  <c r="A202" i="343"/>
  <c r="L33" i="343"/>
  <c r="Q33" i="343"/>
  <c r="J33" i="343" s="1"/>
  <c r="U33" i="343"/>
  <c r="K33" i="343" s="1"/>
  <c r="A34" i="343"/>
  <c r="A203" i="343" s="1"/>
  <c r="L34" i="343"/>
  <c r="Q34" i="343"/>
  <c r="J34" i="343"/>
  <c r="U34" i="343"/>
  <c r="K34" i="343"/>
  <c r="A35" i="343"/>
  <c r="A204" i="343"/>
  <c r="L35" i="343"/>
  <c r="Q35" i="343"/>
  <c r="J35" i="343" s="1"/>
  <c r="U35" i="343"/>
  <c r="K35" i="343" s="1"/>
  <c r="A36" i="343"/>
  <c r="A205" i="343" s="1"/>
  <c r="L36" i="343"/>
  <c r="Q36" i="343"/>
  <c r="J36" i="343"/>
  <c r="U36" i="343"/>
  <c r="K36" i="343"/>
  <c r="A37" i="343"/>
  <c r="A206" i="343"/>
  <c r="L37" i="343"/>
  <c r="Q37" i="343"/>
  <c r="J37" i="343" s="1"/>
  <c r="U37" i="343"/>
  <c r="K37" i="343" s="1"/>
  <c r="A38" i="343"/>
  <c r="L38" i="343"/>
  <c r="Q38" i="343"/>
  <c r="J38" i="343" s="1"/>
  <c r="U38" i="343"/>
  <c r="K38" i="343" s="1"/>
  <c r="C39" i="343"/>
  <c r="D39" i="343"/>
  <c r="E39" i="343"/>
  <c r="E9" i="126" s="1"/>
  <c r="F39" i="343"/>
  <c r="F9" i="126" s="1"/>
  <c r="G39" i="343"/>
  <c r="H39" i="343"/>
  <c r="I39" i="343"/>
  <c r="I9" i="126" s="1"/>
  <c r="N39" i="343"/>
  <c r="O39" i="343"/>
  <c r="P39" i="343"/>
  <c r="R39" i="343"/>
  <c r="S39" i="343"/>
  <c r="T39" i="343"/>
  <c r="V39" i="343"/>
  <c r="W39" i="343"/>
  <c r="X39" i="343"/>
  <c r="X171" i="343" s="1"/>
  <c r="A40" i="343"/>
  <c r="A209" i="343"/>
  <c r="L40" i="343"/>
  <c r="Q40" i="343"/>
  <c r="J40" i="343" s="1"/>
  <c r="U40" i="343"/>
  <c r="K40" i="343" s="1"/>
  <c r="A41" i="343"/>
  <c r="A210" i="343" s="1"/>
  <c r="L41" i="343"/>
  <c r="Q41" i="343"/>
  <c r="J41" i="343"/>
  <c r="U41" i="343"/>
  <c r="K41" i="343"/>
  <c r="A42" i="343"/>
  <c r="A211" i="343"/>
  <c r="L42" i="343"/>
  <c r="Q42" i="343"/>
  <c r="J42" i="343" s="1"/>
  <c r="U42" i="343"/>
  <c r="K42" i="343" s="1"/>
  <c r="A43" i="343"/>
  <c r="A212" i="343" s="1"/>
  <c r="L43" i="343"/>
  <c r="Q43" i="343"/>
  <c r="U43" i="343"/>
  <c r="K43" i="343" s="1"/>
  <c r="A44" i="343"/>
  <c r="A213" i="343" s="1"/>
  <c r="L44" i="343"/>
  <c r="Q44" i="343"/>
  <c r="J44" i="343"/>
  <c r="U44" i="343"/>
  <c r="K44" i="343"/>
  <c r="A45" i="343"/>
  <c r="A214" i="343"/>
  <c r="L45" i="343"/>
  <c r="Q45" i="343"/>
  <c r="J45" i="343" s="1"/>
  <c r="U45" i="343"/>
  <c r="K45" i="343" s="1"/>
  <c r="A46" i="343"/>
  <c r="A215" i="343" s="1"/>
  <c r="L46" i="343"/>
  <c r="Q46" i="343"/>
  <c r="U46" i="343"/>
  <c r="K46" i="343" s="1"/>
  <c r="A47" i="343"/>
  <c r="A216" i="343" s="1"/>
  <c r="L47" i="343"/>
  <c r="Q47" i="343"/>
  <c r="J47" i="343"/>
  <c r="U47" i="343"/>
  <c r="K47" i="343"/>
  <c r="A48" i="343"/>
  <c r="A217" i="343"/>
  <c r="L48" i="343"/>
  <c r="Q48" i="343"/>
  <c r="J48" i="343" s="1"/>
  <c r="U48" i="343"/>
  <c r="K48" i="343" s="1"/>
  <c r="A49" i="343"/>
  <c r="A218" i="343" s="1"/>
  <c r="L49" i="343"/>
  <c r="Q49" i="343"/>
  <c r="J49" i="343"/>
  <c r="U49" i="343"/>
  <c r="K49" i="343"/>
  <c r="C50" i="343"/>
  <c r="C10" i="126"/>
  <c r="D50" i="343"/>
  <c r="D10" i="126"/>
  <c r="E50" i="343"/>
  <c r="E10" i="126"/>
  <c r="F50" i="343"/>
  <c r="F10" i="126"/>
  <c r="G50" i="343"/>
  <c r="G10" i="126"/>
  <c r="H50" i="343"/>
  <c r="H10" i="126"/>
  <c r="I50" i="343"/>
  <c r="N50" i="343"/>
  <c r="O50" i="343"/>
  <c r="P50" i="343"/>
  <c r="R50" i="343"/>
  <c r="S50" i="343"/>
  <c r="T50" i="343"/>
  <c r="V50" i="343"/>
  <c r="W50" i="343"/>
  <c r="X50" i="343"/>
  <c r="A51" i="343"/>
  <c r="A220" i="343"/>
  <c r="L51" i="343"/>
  <c r="Q51" i="343"/>
  <c r="J51" i="343" s="1"/>
  <c r="U51" i="343"/>
  <c r="K51" i="343" s="1"/>
  <c r="A52" i="343"/>
  <c r="A221" i="343" s="1"/>
  <c r="L52" i="343"/>
  <c r="Q52" i="343"/>
  <c r="J52" i="343"/>
  <c r="U52" i="343"/>
  <c r="K52" i="343"/>
  <c r="A53" i="343"/>
  <c r="A222" i="343"/>
  <c r="L53" i="343"/>
  <c r="Q53" i="343"/>
  <c r="J53" i="343" s="1"/>
  <c r="U53" i="343"/>
  <c r="K53" i="343" s="1"/>
  <c r="A54" i="343"/>
  <c r="A223" i="343" s="1"/>
  <c r="L54" i="343"/>
  <c r="Q54" i="343"/>
  <c r="U54" i="343"/>
  <c r="K54" i="343" s="1"/>
  <c r="A55" i="343"/>
  <c r="A224" i="343" s="1"/>
  <c r="L55" i="343"/>
  <c r="Q55" i="343"/>
  <c r="J55" i="343"/>
  <c r="U55" i="343"/>
  <c r="K55" i="343"/>
  <c r="A56" i="343"/>
  <c r="A225" i="343"/>
  <c r="L56" i="343"/>
  <c r="Q56" i="343"/>
  <c r="J56" i="343" s="1"/>
  <c r="U56" i="343"/>
  <c r="K56" i="343" s="1"/>
  <c r="A57" i="343"/>
  <c r="A226" i="343" s="1"/>
  <c r="L57" i="343"/>
  <c r="Q57" i="343"/>
  <c r="J57" i="343"/>
  <c r="U57" i="343"/>
  <c r="K57" i="343"/>
  <c r="A58" i="343"/>
  <c r="A227" i="343"/>
  <c r="L58" i="343"/>
  <c r="Q58" i="343"/>
  <c r="J58" i="343" s="1"/>
  <c r="U58" i="343"/>
  <c r="K58" i="343" s="1"/>
  <c r="A59" i="343"/>
  <c r="A228" i="343" s="1"/>
  <c r="L59" i="343"/>
  <c r="Q59" i="343"/>
  <c r="J59" i="343"/>
  <c r="U59" i="343"/>
  <c r="K59" i="343"/>
  <c r="A60" i="343"/>
  <c r="A229" i="343"/>
  <c r="L60" i="343"/>
  <c r="Q60" i="343"/>
  <c r="J60" i="343" s="1"/>
  <c r="U60" i="343"/>
  <c r="K60" i="343" s="1"/>
  <c r="C61" i="343"/>
  <c r="C11" i="126" s="1"/>
  <c r="D61" i="343"/>
  <c r="D11" i="126" s="1"/>
  <c r="E61" i="343"/>
  <c r="E11" i="126" s="1"/>
  <c r="F61" i="343"/>
  <c r="F11" i="126" s="1"/>
  <c r="G61" i="343"/>
  <c r="G11" i="126" s="1"/>
  <c r="H61" i="343"/>
  <c r="H11" i="126" s="1"/>
  <c r="I61" i="343"/>
  <c r="I11" i="126" s="1"/>
  <c r="N61" i="343"/>
  <c r="O61" i="343"/>
  <c r="P61" i="343"/>
  <c r="R61" i="343"/>
  <c r="S61" i="343"/>
  <c r="T61" i="343"/>
  <c r="V61" i="343"/>
  <c r="W61" i="343"/>
  <c r="X61" i="343"/>
  <c r="A62" i="343"/>
  <c r="A231" i="343"/>
  <c r="L62" i="343"/>
  <c r="Q62" i="343"/>
  <c r="U62" i="343"/>
  <c r="K62" i="343"/>
  <c r="A63" i="343"/>
  <c r="A232" i="343"/>
  <c r="L63" i="343"/>
  <c r="Q63" i="343"/>
  <c r="J63" i="343" s="1"/>
  <c r="U63" i="343"/>
  <c r="K63" i="343" s="1"/>
  <c r="A64" i="343"/>
  <c r="A233" i="343" s="1"/>
  <c r="L64" i="343"/>
  <c r="Q64" i="343"/>
  <c r="J64" i="343"/>
  <c r="U64" i="343"/>
  <c r="K64" i="343"/>
  <c r="A65" i="343"/>
  <c r="A234" i="343"/>
  <c r="L65" i="343"/>
  <c r="Q65" i="343"/>
  <c r="J65" i="343" s="1"/>
  <c r="U65" i="343"/>
  <c r="K65" i="343" s="1"/>
  <c r="A66" i="343"/>
  <c r="A235" i="343" s="1"/>
  <c r="L66" i="343"/>
  <c r="Q66" i="343"/>
  <c r="J66" i="343"/>
  <c r="U66" i="343"/>
  <c r="K66" i="343"/>
  <c r="A67" i="343"/>
  <c r="A236" i="343"/>
  <c r="L67" i="343"/>
  <c r="Q67" i="343"/>
  <c r="J67" i="343" s="1"/>
  <c r="U67" i="343"/>
  <c r="K67" i="343" s="1"/>
  <c r="A68" i="343"/>
  <c r="A237" i="343" s="1"/>
  <c r="L68" i="343"/>
  <c r="Q68" i="343"/>
  <c r="J68" i="343"/>
  <c r="U68" i="343"/>
  <c r="K68" i="343"/>
  <c r="A69" i="343"/>
  <c r="A238" i="343"/>
  <c r="L69" i="343"/>
  <c r="Q69" i="343"/>
  <c r="J69" i="343" s="1"/>
  <c r="U69" i="343"/>
  <c r="K69" i="343" s="1"/>
  <c r="A70" i="343"/>
  <c r="A239" i="343" s="1"/>
  <c r="L70" i="343"/>
  <c r="Q70" i="343"/>
  <c r="J70" i="343"/>
  <c r="U70" i="343"/>
  <c r="K70" i="343"/>
  <c r="A71" i="343"/>
  <c r="A240" i="343"/>
  <c r="L71" i="343"/>
  <c r="Q71" i="343"/>
  <c r="J71" i="343" s="1"/>
  <c r="U71" i="343"/>
  <c r="K71" i="343" s="1"/>
  <c r="C72" i="343"/>
  <c r="D72" i="343"/>
  <c r="D12" i="126"/>
  <c r="E72" i="343"/>
  <c r="E12" i="126"/>
  <c r="F72" i="343"/>
  <c r="G72" i="343"/>
  <c r="H72" i="343"/>
  <c r="I72" i="343"/>
  <c r="I12" i="126"/>
  <c r="N72" i="343"/>
  <c r="O72" i="343"/>
  <c r="P72" i="343"/>
  <c r="R72" i="343"/>
  <c r="S72" i="343"/>
  <c r="T72" i="343"/>
  <c r="V72" i="343"/>
  <c r="W72" i="343"/>
  <c r="X72" i="343"/>
  <c r="A73" i="343"/>
  <c r="A242" i="343" s="1"/>
  <c r="L73" i="343"/>
  <c r="Q73" i="343"/>
  <c r="J73" i="343"/>
  <c r="U73" i="343"/>
  <c r="K73" i="343"/>
  <c r="A74" i="343"/>
  <c r="A243" i="343"/>
  <c r="L74" i="343"/>
  <c r="Q74" i="343"/>
  <c r="J74" i="343" s="1"/>
  <c r="U74" i="343"/>
  <c r="K74" i="343" s="1"/>
  <c r="A75" i="343"/>
  <c r="A244" i="343" s="1"/>
  <c r="L75" i="343"/>
  <c r="Q75" i="343"/>
  <c r="J75" i="343"/>
  <c r="U75" i="343"/>
  <c r="K75" i="343"/>
  <c r="A76" i="343"/>
  <c r="A245" i="343"/>
  <c r="L76" i="343"/>
  <c r="Q76" i="343"/>
  <c r="J76" i="343" s="1"/>
  <c r="U76" i="343"/>
  <c r="K76" i="343" s="1"/>
  <c r="A77" i="343"/>
  <c r="A246" i="343" s="1"/>
  <c r="L77" i="343"/>
  <c r="Q77" i="343"/>
  <c r="J77" i="343"/>
  <c r="U77" i="343"/>
  <c r="K77" i="343"/>
  <c r="A78" i="343"/>
  <c r="A247" i="343"/>
  <c r="L78" i="343"/>
  <c r="Q78" i="343"/>
  <c r="J78" i="343" s="1"/>
  <c r="U78" i="343"/>
  <c r="K78" i="343" s="1"/>
  <c r="A79" i="343"/>
  <c r="A248" i="343" s="1"/>
  <c r="L79" i="343"/>
  <c r="Q79" i="343"/>
  <c r="J79" i="343"/>
  <c r="U79" i="343"/>
  <c r="K79" i="343"/>
  <c r="A80" i="343"/>
  <c r="A249" i="343"/>
  <c r="L80" i="343"/>
  <c r="Q80" i="343"/>
  <c r="J80" i="343" s="1"/>
  <c r="U80" i="343"/>
  <c r="K80" i="343" s="1"/>
  <c r="A81" i="343"/>
  <c r="A250" i="343" s="1"/>
  <c r="L81" i="343"/>
  <c r="Q81" i="343"/>
  <c r="J81" i="343"/>
  <c r="U81" i="343"/>
  <c r="K81" i="343"/>
  <c r="A82" i="343"/>
  <c r="A251" i="343"/>
  <c r="L82" i="343"/>
  <c r="Q82" i="343"/>
  <c r="J82" i="343" s="1"/>
  <c r="U82" i="343"/>
  <c r="K82" i="343" s="1"/>
  <c r="C83" i="343"/>
  <c r="C13" i="126" s="1"/>
  <c r="D83" i="343"/>
  <c r="D13" i="126" s="1"/>
  <c r="E83" i="343"/>
  <c r="E13" i="126" s="1"/>
  <c r="F83" i="343"/>
  <c r="G83" i="343"/>
  <c r="H83" i="343"/>
  <c r="H13" i="126" s="1"/>
  <c r="I83" i="343"/>
  <c r="I13" i="126" s="1"/>
  <c r="N83" i="343"/>
  <c r="O83" i="343"/>
  <c r="P83" i="343"/>
  <c r="R83" i="343"/>
  <c r="S83" i="343"/>
  <c r="T83" i="343"/>
  <c r="V83" i="343"/>
  <c r="W83" i="343"/>
  <c r="X83" i="343"/>
  <c r="A84" i="343"/>
  <c r="A253" i="343" s="1"/>
  <c r="L84" i="343"/>
  <c r="Q84" i="343"/>
  <c r="U84" i="343"/>
  <c r="K84" i="343" s="1"/>
  <c r="A85" i="343"/>
  <c r="A254" i="343" s="1"/>
  <c r="L85" i="343"/>
  <c r="Q85" i="343"/>
  <c r="J85" i="343"/>
  <c r="U85" i="343"/>
  <c r="K85" i="343"/>
  <c r="A86" i="343"/>
  <c r="A255" i="343"/>
  <c r="L86" i="343"/>
  <c r="Q86" i="343"/>
  <c r="J86" i="343" s="1"/>
  <c r="U86" i="343"/>
  <c r="K86" i="343" s="1"/>
  <c r="A87" i="343"/>
  <c r="A256" i="343" s="1"/>
  <c r="L87" i="343"/>
  <c r="Q87" i="343"/>
  <c r="J87" i="343"/>
  <c r="U87" i="343"/>
  <c r="K87" i="343"/>
  <c r="A88" i="343"/>
  <c r="A257" i="343"/>
  <c r="L88" i="343"/>
  <c r="Q88" i="343"/>
  <c r="J88" i="343" s="1"/>
  <c r="U88" i="343"/>
  <c r="K88" i="343" s="1"/>
  <c r="A89" i="343"/>
  <c r="A258" i="343" s="1"/>
  <c r="L89" i="343"/>
  <c r="Q89" i="343"/>
  <c r="J89" i="343"/>
  <c r="U89" i="343"/>
  <c r="K89" i="343"/>
  <c r="A90" i="343"/>
  <c r="A259" i="343"/>
  <c r="L90" i="343"/>
  <c r="Q90" i="343"/>
  <c r="J90" i="343" s="1"/>
  <c r="U90" i="343"/>
  <c r="A91" i="343"/>
  <c r="A260" i="343"/>
  <c r="L91" i="343"/>
  <c r="Q91" i="343"/>
  <c r="J91" i="343" s="1"/>
  <c r="U91" i="343"/>
  <c r="K91" i="343" s="1"/>
  <c r="A92" i="343"/>
  <c r="A261" i="343" s="1"/>
  <c r="L92" i="343"/>
  <c r="Q92" i="343"/>
  <c r="J92" i="343"/>
  <c r="U92" i="343"/>
  <c r="K92" i="343"/>
  <c r="A93" i="343"/>
  <c r="A262" i="343"/>
  <c r="L93" i="343"/>
  <c r="Q93" i="343"/>
  <c r="J93" i="343" s="1"/>
  <c r="U93" i="343"/>
  <c r="K93" i="343" s="1"/>
  <c r="C94" i="343"/>
  <c r="C14" i="126" s="1"/>
  <c r="D94" i="343"/>
  <c r="E94" i="343"/>
  <c r="E14" i="126"/>
  <c r="F94" i="343"/>
  <c r="G94" i="343"/>
  <c r="G14" i="126" s="1"/>
  <c r="H94" i="343"/>
  <c r="I94" i="343"/>
  <c r="I14" i="126"/>
  <c r="N94" i="343"/>
  <c r="O94" i="343"/>
  <c r="P94" i="343"/>
  <c r="R94" i="343"/>
  <c r="S94" i="343"/>
  <c r="T94" i="343"/>
  <c r="V94" i="343"/>
  <c r="W94" i="343"/>
  <c r="X94" i="343"/>
  <c r="A95" i="343"/>
  <c r="A264" i="343" s="1"/>
  <c r="L95" i="343"/>
  <c r="Q95" i="343"/>
  <c r="J95" i="343"/>
  <c r="U95" i="343"/>
  <c r="K95" i="343"/>
  <c r="A96" i="343"/>
  <c r="A265" i="343"/>
  <c r="L96" i="343"/>
  <c r="Q96" i="343"/>
  <c r="J96" i="343" s="1"/>
  <c r="U96" i="343"/>
  <c r="A97" i="343"/>
  <c r="A266" i="343"/>
  <c r="L97" i="343"/>
  <c r="Q97" i="343"/>
  <c r="J97" i="343" s="1"/>
  <c r="U97" i="343"/>
  <c r="K97" i="343" s="1"/>
  <c r="A98" i="343"/>
  <c r="A267" i="343" s="1"/>
  <c r="L98" i="343"/>
  <c r="Q98" i="343"/>
  <c r="J98" i="343"/>
  <c r="U98" i="343"/>
  <c r="K98" i="343"/>
  <c r="A99" i="343"/>
  <c r="A268" i="343"/>
  <c r="L99" i="343"/>
  <c r="Q99" i="343"/>
  <c r="J99" i="343" s="1"/>
  <c r="U99" i="343"/>
  <c r="K99" i="343" s="1"/>
  <c r="A100" i="343"/>
  <c r="A269" i="343" s="1"/>
  <c r="L100" i="343"/>
  <c r="Q100" i="343"/>
  <c r="J100" i="343"/>
  <c r="U100" i="343"/>
  <c r="K100" i="343"/>
  <c r="A101" i="343"/>
  <c r="A270" i="343"/>
  <c r="L101" i="343"/>
  <c r="Q101" i="343"/>
  <c r="J101" i="343" s="1"/>
  <c r="U101" i="343"/>
  <c r="K101" i="343" s="1"/>
  <c r="A102" i="343"/>
  <c r="A271" i="343" s="1"/>
  <c r="L102" i="343"/>
  <c r="Q102" i="343"/>
  <c r="J102" i="343"/>
  <c r="U102" i="343"/>
  <c r="K102" i="343"/>
  <c r="A103" i="343"/>
  <c r="A272" i="343"/>
  <c r="L103" i="343"/>
  <c r="Q103" i="343"/>
  <c r="J103" i="343" s="1"/>
  <c r="U103" i="343"/>
  <c r="K103" i="343" s="1"/>
  <c r="A104" i="343"/>
  <c r="A273" i="343" s="1"/>
  <c r="L104" i="343"/>
  <c r="Q104" i="343"/>
  <c r="J104" i="343"/>
  <c r="U104" i="343"/>
  <c r="K104" i="343"/>
  <c r="C105" i="343"/>
  <c r="D105" i="343"/>
  <c r="E105" i="343"/>
  <c r="E15" i="126"/>
  <c r="F105" i="343"/>
  <c r="F15" i="126"/>
  <c r="G105" i="343"/>
  <c r="H105" i="343"/>
  <c r="I105" i="343"/>
  <c r="I15" i="126"/>
  <c r="N105" i="343"/>
  <c r="O105" i="343"/>
  <c r="P105" i="343"/>
  <c r="R105" i="343"/>
  <c r="S105" i="343"/>
  <c r="T105" i="343"/>
  <c r="V105" i="343"/>
  <c r="W105" i="343"/>
  <c r="X105" i="343"/>
  <c r="A106" i="343"/>
  <c r="A275" i="343" s="1"/>
  <c r="L106" i="343"/>
  <c r="Q106" i="343"/>
  <c r="J106" i="343"/>
  <c r="U106" i="343"/>
  <c r="A107" i="343"/>
  <c r="A276" i="343" s="1"/>
  <c r="L107" i="343"/>
  <c r="Q107" i="343"/>
  <c r="J107" i="343"/>
  <c r="U107" i="343"/>
  <c r="K107" i="343"/>
  <c r="A108" i="343"/>
  <c r="A277" i="343"/>
  <c r="L108" i="343"/>
  <c r="Q108" i="343"/>
  <c r="J108" i="343" s="1"/>
  <c r="U108" i="343"/>
  <c r="K108" i="343" s="1"/>
  <c r="A109" i="343"/>
  <c r="A278" i="343" s="1"/>
  <c r="L109" i="343"/>
  <c r="Q109" i="343"/>
  <c r="U109" i="343"/>
  <c r="K109" i="343" s="1"/>
  <c r="A110" i="343"/>
  <c r="A279" i="343" s="1"/>
  <c r="L110" i="343"/>
  <c r="Q110" i="343"/>
  <c r="J110" i="343"/>
  <c r="U110" i="343"/>
  <c r="K110" i="343"/>
  <c r="A111" i="343"/>
  <c r="A280" i="343"/>
  <c r="L111" i="343"/>
  <c r="Q111" i="343"/>
  <c r="J111" i="343" s="1"/>
  <c r="U111" i="343"/>
  <c r="K111" i="343" s="1"/>
  <c r="A112" i="343"/>
  <c r="A281" i="343" s="1"/>
  <c r="L112" i="343"/>
  <c r="Q112" i="343"/>
  <c r="J112" i="343"/>
  <c r="U112" i="343"/>
  <c r="K112" i="343"/>
  <c r="A113" i="343"/>
  <c r="A282" i="343"/>
  <c r="L113" i="343"/>
  <c r="Q113" i="343"/>
  <c r="J113" i="343" s="1"/>
  <c r="U113" i="343"/>
  <c r="K113" i="343" s="1"/>
  <c r="A114" i="343"/>
  <c r="A283" i="343" s="1"/>
  <c r="L114" i="343"/>
  <c r="Q114" i="343"/>
  <c r="J114" i="343"/>
  <c r="U114" i="343"/>
  <c r="K114" i="343"/>
  <c r="A115" i="343"/>
  <c r="A284" i="343"/>
  <c r="L115" i="343"/>
  <c r="Q115" i="343"/>
  <c r="J115" i="343" s="1"/>
  <c r="U115" i="343"/>
  <c r="K115" i="343" s="1"/>
  <c r="C116" i="343"/>
  <c r="D116" i="343"/>
  <c r="E116" i="343"/>
  <c r="E16" i="126" s="1"/>
  <c r="F116" i="343"/>
  <c r="G116" i="343"/>
  <c r="G16" i="126"/>
  <c r="H116" i="343"/>
  <c r="H16" i="126"/>
  <c r="I116" i="343"/>
  <c r="N116" i="343"/>
  <c r="O116" i="343"/>
  <c r="P116" i="343"/>
  <c r="R116" i="343"/>
  <c r="S116" i="343"/>
  <c r="T116" i="343"/>
  <c r="V116" i="343"/>
  <c r="W116" i="343"/>
  <c r="X116" i="343"/>
  <c r="A117" i="343"/>
  <c r="L117" i="343"/>
  <c r="Q117" i="343"/>
  <c r="J117" i="343"/>
  <c r="U117" i="343"/>
  <c r="K117" i="343"/>
  <c r="A118" i="343"/>
  <c r="A287" i="343"/>
  <c r="L118" i="343"/>
  <c r="Q118" i="343"/>
  <c r="J118" i="343" s="1"/>
  <c r="U118" i="343"/>
  <c r="A119" i="343"/>
  <c r="A288" i="343"/>
  <c r="L119" i="343"/>
  <c r="Q119" i="343"/>
  <c r="J119" i="343" s="1"/>
  <c r="U119" i="343"/>
  <c r="K119" i="343" s="1"/>
  <c r="A120" i="343"/>
  <c r="A289" i="343" s="1"/>
  <c r="L120" i="343"/>
  <c r="Q120" i="343"/>
  <c r="J120" i="343"/>
  <c r="U120" i="343"/>
  <c r="K120" i="343"/>
  <c r="A121" i="343"/>
  <c r="A290" i="343"/>
  <c r="L121" i="343"/>
  <c r="Q121" i="343"/>
  <c r="J121" i="343" s="1"/>
  <c r="U121" i="343"/>
  <c r="K121" i="343" s="1"/>
  <c r="A122" i="343"/>
  <c r="A291" i="343" s="1"/>
  <c r="L122" i="343"/>
  <c r="Q122" i="343"/>
  <c r="J122" i="343"/>
  <c r="U122" i="343"/>
  <c r="K122" i="343"/>
  <c r="A123" i="343"/>
  <c r="A292" i="343"/>
  <c r="L123" i="343"/>
  <c r="Q123" i="343"/>
  <c r="J123" i="343" s="1"/>
  <c r="U123" i="343"/>
  <c r="K123" i="343" s="1"/>
  <c r="A124" i="343"/>
  <c r="A293" i="343" s="1"/>
  <c r="L124" i="343"/>
  <c r="Q124" i="343"/>
  <c r="J124" i="343"/>
  <c r="U124" i="343"/>
  <c r="K124" i="343"/>
  <c r="A125" i="343"/>
  <c r="A294" i="343"/>
  <c r="L125" i="343"/>
  <c r="Q125" i="343"/>
  <c r="J125" i="343" s="1"/>
  <c r="U125" i="343"/>
  <c r="K125" i="343" s="1"/>
  <c r="A126" i="343"/>
  <c r="A295" i="343" s="1"/>
  <c r="L126" i="343"/>
  <c r="Q126" i="343"/>
  <c r="J126" i="343"/>
  <c r="U126" i="343"/>
  <c r="K126" i="343"/>
  <c r="C127" i="343"/>
  <c r="C17" i="126"/>
  <c r="D127" i="343"/>
  <c r="D17" i="126"/>
  <c r="E127" i="343"/>
  <c r="E17" i="126"/>
  <c r="F127" i="343"/>
  <c r="F17" i="126"/>
  <c r="G127" i="343"/>
  <c r="G17" i="126"/>
  <c r="H127" i="343"/>
  <c r="I127" i="343"/>
  <c r="I17" i="126" s="1"/>
  <c r="N127" i="343"/>
  <c r="O127" i="343"/>
  <c r="P127" i="343"/>
  <c r="R127" i="343"/>
  <c r="S127" i="343"/>
  <c r="T127" i="343"/>
  <c r="V127" i="343"/>
  <c r="W127" i="343"/>
  <c r="X127" i="343"/>
  <c r="A128" i="343"/>
  <c r="A297" i="343"/>
  <c r="L128" i="343"/>
  <c r="Q128" i="343"/>
  <c r="U128" i="343"/>
  <c r="A129" i="343"/>
  <c r="A298" i="343" s="1"/>
  <c r="L129" i="343"/>
  <c r="Q129" i="343"/>
  <c r="J129" i="343"/>
  <c r="U129" i="343"/>
  <c r="K129" i="343"/>
  <c r="A130" i="343"/>
  <c r="A299" i="343"/>
  <c r="L130" i="343"/>
  <c r="Q130" i="343"/>
  <c r="J130" i="343" s="1"/>
  <c r="U130" i="343"/>
  <c r="K130" i="343" s="1"/>
  <c r="A131" i="343"/>
  <c r="A300" i="343" s="1"/>
  <c r="L131" i="343"/>
  <c r="Q131" i="343"/>
  <c r="J131" i="343"/>
  <c r="U131" i="343"/>
  <c r="K131" i="343"/>
  <c r="A132" i="343"/>
  <c r="A301" i="343"/>
  <c r="L132" i="343"/>
  <c r="Q132" i="343"/>
  <c r="J132" i="343" s="1"/>
  <c r="U132" i="343"/>
  <c r="K132" i="343" s="1"/>
  <c r="A133" i="343"/>
  <c r="A302" i="343" s="1"/>
  <c r="L133" i="343"/>
  <c r="Q133" i="343"/>
  <c r="J133" i="343"/>
  <c r="U133" i="343"/>
  <c r="K133" i="343"/>
  <c r="A134" i="343"/>
  <c r="A303" i="343"/>
  <c r="L134" i="343"/>
  <c r="Q134" i="343"/>
  <c r="J134" i="343" s="1"/>
  <c r="U134" i="343"/>
  <c r="K134" i="343" s="1"/>
  <c r="A135" i="343"/>
  <c r="A304" i="343" s="1"/>
  <c r="L135" i="343"/>
  <c r="Q135" i="343"/>
  <c r="J135" i="343"/>
  <c r="U135" i="343"/>
  <c r="K135" i="343"/>
  <c r="A136" i="343"/>
  <c r="A305" i="343"/>
  <c r="L136" i="343"/>
  <c r="Q136" i="343"/>
  <c r="J136" i="343" s="1"/>
  <c r="U136" i="343"/>
  <c r="K136" i="343" s="1"/>
  <c r="A137" i="343"/>
  <c r="A306" i="343" s="1"/>
  <c r="L137" i="343"/>
  <c r="Q137" i="343"/>
  <c r="J137" i="343"/>
  <c r="U137" i="343"/>
  <c r="K137" i="343"/>
  <c r="C138" i="343"/>
  <c r="D138" i="343"/>
  <c r="D18" i="126" s="1"/>
  <c r="E138" i="343"/>
  <c r="F138" i="343"/>
  <c r="F18" i="126"/>
  <c r="G138" i="343"/>
  <c r="H138" i="343"/>
  <c r="H18" i="126" s="1"/>
  <c r="I138" i="343"/>
  <c r="I18" i="126" s="1"/>
  <c r="N138" i="343"/>
  <c r="O138" i="343"/>
  <c r="P138" i="343"/>
  <c r="R138" i="343"/>
  <c r="S138" i="343"/>
  <c r="T138" i="343"/>
  <c r="V138" i="343"/>
  <c r="W138" i="343"/>
  <c r="X138" i="343"/>
  <c r="A139" i="343"/>
  <c r="A308" i="343"/>
  <c r="L139" i="343"/>
  <c r="Q139" i="343"/>
  <c r="J139" i="343" s="1"/>
  <c r="U139" i="343"/>
  <c r="K139" i="343" s="1"/>
  <c r="A140" i="343"/>
  <c r="A309" i="343" s="1"/>
  <c r="L140" i="343"/>
  <c r="Q140" i="343"/>
  <c r="J140" i="343"/>
  <c r="U140" i="343"/>
  <c r="A141" i="343"/>
  <c r="A310" i="343" s="1"/>
  <c r="L141" i="343"/>
  <c r="Q141" i="343"/>
  <c r="J141" i="343"/>
  <c r="U141" i="343"/>
  <c r="K141" i="343"/>
  <c r="A142" i="343"/>
  <c r="A311" i="343"/>
  <c r="L142" i="343"/>
  <c r="Q142" i="343"/>
  <c r="J142" i="343" s="1"/>
  <c r="U142" i="343"/>
  <c r="K142" i="343" s="1"/>
  <c r="A143" i="343"/>
  <c r="A312" i="343" s="1"/>
  <c r="L143" i="343"/>
  <c r="Q143" i="343"/>
  <c r="J143" i="343"/>
  <c r="U143" i="343"/>
  <c r="K143" i="343"/>
  <c r="A144" i="343"/>
  <c r="A313" i="343"/>
  <c r="L144" i="343"/>
  <c r="Q144" i="343"/>
  <c r="J144" i="343" s="1"/>
  <c r="U144" i="343"/>
  <c r="K144" i="343" s="1"/>
  <c r="A145" i="343"/>
  <c r="A314" i="343" s="1"/>
  <c r="L145" i="343"/>
  <c r="Q145" i="343"/>
  <c r="J145" i="343"/>
  <c r="U145" i="343"/>
  <c r="K145" i="343"/>
  <c r="A146" i="343"/>
  <c r="A315" i="343"/>
  <c r="L146" i="343"/>
  <c r="Q146" i="343"/>
  <c r="J146" i="343" s="1"/>
  <c r="U146" i="343"/>
  <c r="K146" i="343" s="1"/>
  <c r="A147" i="343"/>
  <c r="A316" i="343" s="1"/>
  <c r="L147" i="343"/>
  <c r="Q147" i="343"/>
  <c r="J147" i="343"/>
  <c r="U147" i="343"/>
  <c r="K147" i="343"/>
  <c r="A148" i="343"/>
  <c r="A317" i="343"/>
  <c r="L148" i="343"/>
  <c r="L18" i="233"/>
  <c r="Q148" i="343"/>
  <c r="J148" i="343"/>
  <c r="U148" i="343"/>
  <c r="K148" i="343"/>
  <c r="C149" i="343"/>
  <c r="C19" i="126"/>
  <c r="D149" i="343"/>
  <c r="D19" i="126"/>
  <c r="E149" i="343"/>
  <c r="E19" i="126"/>
  <c r="F149" i="343"/>
  <c r="F19" i="126"/>
  <c r="G149" i="343"/>
  <c r="H149" i="343"/>
  <c r="H19" i="126" s="1"/>
  <c r="I149" i="343"/>
  <c r="N149" i="343"/>
  <c r="O149" i="343"/>
  <c r="P149" i="343"/>
  <c r="R149" i="343"/>
  <c r="S149" i="343"/>
  <c r="T149" i="343"/>
  <c r="V149" i="343"/>
  <c r="W149" i="343"/>
  <c r="X149" i="343"/>
  <c r="A150" i="343"/>
  <c r="A319" i="343" s="1"/>
  <c r="L150" i="343"/>
  <c r="Q150" i="343"/>
  <c r="J150" i="343"/>
  <c r="U150" i="343"/>
  <c r="A151" i="343"/>
  <c r="A320" i="343" s="1"/>
  <c r="L151" i="343"/>
  <c r="Q151" i="343"/>
  <c r="J151" i="343"/>
  <c r="U151" i="343"/>
  <c r="K151" i="343"/>
  <c r="A152" i="343"/>
  <c r="A321" i="343"/>
  <c r="L152" i="343"/>
  <c r="Q152" i="343"/>
  <c r="J152" i="343" s="1"/>
  <c r="U152" i="343"/>
  <c r="K152" i="343" s="1"/>
  <c r="A153" i="343"/>
  <c r="A322" i="343" s="1"/>
  <c r="L153" i="343"/>
  <c r="Q153" i="343"/>
  <c r="J153" i="343"/>
  <c r="U153" i="343"/>
  <c r="K153" i="343"/>
  <c r="A154" i="343"/>
  <c r="A323" i="343"/>
  <c r="L154" i="343"/>
  <c r="Q154" i="343"/>
  <c r="J154" i="343" s="1"/>
  <c r="U154" i="343"/>
  <c r="K154" i="343" s="1"/>
  <c r="A155" i="343"/>
  <c r="A324" i="343" s="1"/>
  <c r="L155" i="343"/>
  <c r="Q155" i="343"/>
  <c r="J155" i="343"/>
  <c r="U155" i="343"/>
  <c r="K155" i="343"/>
  <c r="A156" i="343"/>
  <c r="A325" i="343"/>
  <c r="L156" i="343"/>
  <c r="Q156" i="343"/>
  <c r="J156" i="343" s="1"/>
  <c r="U156" i="343"/>
  <c r="K156" i="343" s="1"/>
  <c r="A157" i="343"/>
  <c r="A326" i="343" s="1"/>
  <c r="L157" i="343"/>
  <c r="Q157" i="343"/>
  <c r="J157" i="343"/>
  <c r="U157" i="343"/>
  <c r="K157" i="343"/>
  <c r="A158" i="343"/>
  <c r="A327" i="343"/>
  <c r="L158" i="343"/>
  <c r="Q158" i="343"/>
  <c r="J158" i="343" s="1"/>
  <c r="U158" i="343"/>
  <c r="K158" i="343" s="1"/>
  <c r="A159" i="343"/>
  <c r="A328" i="343" s="1"/>
  <c r="L159" i="343"/>
  <c r="L19" i="233" s="1"/>
  <c r="Q159" i="343"/>
  <c r="J159" i="343" s="1"/>
  <c r="U159" i="343"/>
  <c r="K159" i="343" s="1"/>
  <c r="C160" i="343"/>
  <c r="C20" i="126" s="1"/>
  <c r="D160" i="343"/>
  <c r="D20" i="126" s="1"/>
  <c r="E160" i="343"/>
  <c r="F160" i="343"/>
  <c r="F20" i="126"/>
  <c r="G160" i="343"/>
  <c r="G20" i="126"/>
  <c r="H160" i="343"/>
  <c r="I160" i="343"/>
  <c r="I20" i="126" s="1"/>
  <c r="N160" i="343"/>
  <c r="O160" i="343"/>
  <c r="P160" i="343"/>
  <c r="R160" i="343"/>
  <c r="S160" i="343"/>
  <c r="T160" i="343"/>
  <c r="V160" i="343"/>
  <c r="W160" i="343"/>
  <c r="X160" i="343"/>
  <c r="A161" i="343"/>
  <c r="A330" i="343"/>
  <c r="L161" i="343"/>
  <c r="Q161" i="343"/>
  <c r="J161" i="343" s="1"/>
  <c r="U161" i="343"/>
  <c r="K161" i="343" s="1"/>
  <c r="A162" i="343"/>
  <c r="A331" i="343" s="1"/>
  <c r="L162" i="343"/>
  <c r="Q162" i="343"/>
  <c r="J162" i="343"/>
  <c r="U162" i="343"/>
  <c r="K162" i="343"/>
  <c r="A163" i="343"/>
  <c r="L163" i="343"/>
  <c r="Q163" i="343"/>
  <c r="J163" i="343"/>
  <c r="U163" i="343"/>
  <c r="K163" i="343"/>
  <c r="A164" i="343"/>
  <c r="A333" i="343"/>
  <c r="L164" i="343"/>
  <c r="Q164" i="343"/>
  <c r="J164" i="343" s="1"/>
  <c r="U164" i="343"/>
  <c r="K164" i="343" s="1"/>
  <c r="A165" i="343"/>
  <c r="A334" i="343" s="1"/>
  <c r="L165" i="343"/>
  <c r="Q165" i="343"/>
  <c r="J165" i="343"/>
  <c r="U165" i="343"/>
  <c r="K165" i="343"/>
  <c r="A166" i="343"/>
  <c r="A335" i="343"/>
  <c r="L166" i="343"/>
  <c r="Q166" i="343"/>
  <c r="J166" i="343" s="1"/>
  <c r="U166" i="343"/>
  <c r="K166" i="343" s="1"/>
  <c r="A167" i="343"/>
  <c r="A336" i="343" s="1"/>
  <c r="L167" i="343"/>
  <c r="Q167" i="343"/>
  <c r="J167" i="343"/>
  <c r="U167" i="343"/>
  <c r="K167" i="343"/>
  <c r="A168" i="343"/>
  <c r="A337" i="343"/>
  <c r="L168" i="343"/>
  <c r="Q168" i="343"/>
  <c r="J168" i="343" s="1"/>
  <c r="U168" i="343"/>
  <c r="K168" i="343" s="1"/>
  <c r="A169" i="343"/>
  <c r="A338" i="343" s="1"/>
  <c r="L169" i="343"/>
  <c r="Q169" i="343"/>
  <c r="J169" i="343"/>
  <c r="U169" i="343"/>
  <c r="K169" i="343"/>
  <c r="A170" i="343"/>
  <c r="A339" i="343"/>
  <c r="L170" i="343"/>
  <c r="Q170" i="343"/>
  <c r="J170" i="343" s="1"/>
  <c r="U170" i="343"/>
  <c r="K170" i="343" s="1"/>
  <c r="C175" i="343"/>
  <c r="D175" i="343"/>
  <c r="E175" i="343"/>
  <c r="E24" i="126" s="1"/>
  <c r="F175" i="343"/>
  <c r="G175" i="343"/>
  <c r="G24" i="126"/>
  <c r="H175" i="343"/>
  <c r="I175" i="343"/>
  <c r="I24" i="126" s="1"/>
  <c r="K175" i="343"/>
  <c r="L175" i="343"/>
  <c r="L24" i="126"/>
  <c r="Q23" i="140" s="1"/>
  <c r="C186" i="343"/>
  <c r="C25" i="126" s="1"/>
  <c r="D186" i="343"/>
  <c r="E186" i="343"/>
  <c r="E25" i="126"/>
  <c r="F186" i="343"/>
  <c r="F25" i="126"/>
  <c r="G186" i="343"/>
  <c r="G25" i="126"/>
  <c r="H186" i="343"/>
  <c r="H25" i="126"/>
  <c r="I186" i="343"/>
  <c r="I25" i="126"/>
  <c r="J186" i="343"/>
  <c r="J25" i="126"/>
  <c r="O24" i="140" s="1"/>
  <c r="K186" i="343"/>
  <c r="K25" i="126" s="1"/>
  <c r="P24" i="140" s="1"/>
  <c r="L186" i="343"/>
  <c r="A190" i="343"/>
  <c r="C197" i="343"/>
  <c r="C26" i="126"/>
  <c r="D197" i="343"/>
  <c r="E197" i="343"/>
  <c r="E26" i="126" s="1"/>
  <c r="F197" i="343"/>
  <c r="F26" i="126" s="1"/>
  <c r="G197" i="343"/>
  <c r="G26" i="126" s="1"/>
  <c r="H197" i="343"/>
  <c r="I197" i="343"/>
  <c r="I26" i="126"/>
  <c r="J197" i="343"/>
  <c r="J26" i="126"/>
  <c r="O25" i="140" s="1"/>
  <c r="K197" i="343"/>
  <c r="K26" i="126" s="1"/>
  <c r="P25" i="140" s="1"/>
  <c r="L197" i="343"/>
  <c r="A207" i="343"/>
  <c r="C208" i="343"/>
  <c r="C27" i="126"/>
  <c r="D208" i="343"/>
  <c r="D27" i="126"/>
  <c r="E208" i="343"/>
  <c r="F208" i="343"/>
  <c r="G208" i="343"/>
  <c r="G27" i="126"/>
  <c r="H208" i="343"/>
  <c r="H27" i="126"/>
  <c r="I208" i="343"/>
  <c r="I27" i="126"/>
  <c r="J208" i="343"/>
  <c r="J27" i="126"/>
  <c r="O26" i="140" s="1"/>
  <c r="K208" i="343"/>
  <c r="L208" i="343"/>
  <c r="L27" i="126"/>
  <c r="Q26" i="140" s="1"/>
  <c r="C219" i="343"/>
  <c r="C28" i="126" s="1"/>
  <c r="D219" i="343"/>
  <c r="D28" i="126" s="1"/>
  <c r="E219" i="343"/>
  <c r="E28" i="126" s="1"/>
  <c r="F219" i="343"/>
  <c r="F28" i="126" s="1"/>
  <c r="G219" i="343"/>
  <c r="G28" i="126" s="1"/>
  <c r="H219" i="343"/>
  <c r="I219" i="343"/>
  <c r="J219" i="343"/>
  <c r="J28" i="126" s="1"/>
  <c r="O27" i="140" s="1"/>
  <c r="N27" i="140" s="1"/>
  <c r="K219" i="343"/>
  <c r="K28" i="126" s="1"/>
  <c r="P27" i="140" s="1"/>
  <c r="L219" i="343"/>
  <c r="L28" i="126"/>
  <c r="Q27" i="140" s="1"/>
  <c r="C230" i="343"/>
  <c r="C29" i="126" s="1"/>
  <c r="D230" i="343"/>
  <c r="E230" i="343"/>
  <c r="E29" i="126"/>
  <c r="F230" i="343"/>
  <c r="F29" i="126"/>
  <c r="G230" i="343"/>
  <c r="G29" i="126"/>
  <c r="H230" i="343"/>
  <c r="I230" i="343"/>
  <c r="I29" i="126" s="1"/>
  <c r="J230" i="343"/>
  <c r="J29" i="126" s="1"/>
  <c r="O28" i="140" s="1"/>
  <c r="N28" i="140" s="1"/>
  <c r="K230" i="343"/>
  <c r="K29" i="126" s="1"/>
  <c r="P28" i="140" s="1"/>
  <c r="L230" i="343"/>
  <c r="C241" i="343"/>
  <c r="C30" i="126" s="1"/>
  <c r="D241" i="343"/>
  <c r="D30" i="126" s="1"/>
  <c r="E241" i="343"/>
  <c r="E30" i="126" s="1"/>
  <c r="F241" i="343"/>
  <c r="F30" i="126" s="1"/>
  <c r="G241" i="343"/>
  <c r="G30" i="126" s="1"/>
  <c r="H241" i="343"/>
  <c r="I241" i="343"/>
  <c r="I30" i="126"/>
  <c r="J241" i="343"/>
  <c r="J30" i="126"/>
  <c r="O29" i="140" s="1"/>
  <c r="N29" i="140" s="1"/>
  <c r="K241" i="343"/>
  <c r="K30" i="126"/>
  <c r="P29" i="140" s="1"/>
  <c r="L241" i="343"/>
  <c r="L30" i="126" s="1"/>
  <c r="Q29" i="140" s="1"/>
  <c r="C252" i="343"/>
  <c r="C31" i="126"/>
  <c r="D252" i="343"/>
  <c r="D31" i="126"/>
  <c r="E252" i="343"/>
  <c r="E31" i="126"/>
  <c r="F252" i="343"/>
  <c r="F31" i="126" s="1"/>
  <c r="G252" i="343"/>
  <c r="G31" i="126"/>
  <c r="H252" i="343"/>
  <c r="H31" i="126" s="1"/>
  <c r="I252" i="343"/>
  <c r="I31" i="126" s="1"/>
  <c r="J252" i="343"/>
  <c r="J31" i="126" s="1"/>
  <c r="O30" i="140" s="1"/>
  <c r="N30" i="140" s="1"/>
  <c r="K252" i="343"/>
  <c r="K31" i="126" s="1"/>
  <c r="P30" i="140" s="1"/>
  <c r="L252" i="343"/>
  <c r="L31" i="126" s="1"/>
  <c r="Q30" i="140" s="1"/>
  <c r="C263" i="343"/>
  <c r="C32" i="126" s="1"/>
  <c r="D263" i="343"/>
  <c r="E263" i="343"/>
  <c r="F263" i="343"/>
  <c r="G263" i="343"/>
  <c r="G32" i="126"/>
  <c r="H263" i="343"/>
  <c r="H32" i="126"/>
  <c r="I263" i="343"/>
  <c r="I32" i="126"/>
  <c r="J263" i="343"/>
  <c r="J32" i="126"/>
  <c r="O31" i="140" s="1"/>
  <c r="N31" i="140" s="1"/>
  <c r="K263" i="343"/>
  <c r="K32" i="126"/>
  <c r="P31" i="140" s="1"/>
  <c r="L263" i="343"/>
  <c r="L32" i="126" s="1"/>
  <c r="Q31" i="140" s="1"/>
  <c r="C274" i="343"/>
  <c r="D274" i="343"/>
  <c r="D33" i="126"/>
  <c r="E274" i="343"/>
  <c r="E33" i="126"/>
  <c r="F274" i="343"/>
  <c r="F33" i="126" s="1"/>
  <c r="G274" i="343"/>
  <c r="H274" i="343"/>
  <c r="H33" i="126"/>
  <c r="I274" i="343"/>
  <c r="J274" i="343"/>
  <c r="J33" i="126" s="1"/>
  <c r="O32" i="140" s="1"/>
  <c r="N32" i="140" s="1"/>
  <c r="K274" i="343"/>
  <c r="L274" i="343"/>
  <c r="L33" i="126" s="1"/>
  <c r="Q32" i="140" s="1"/>
  <c r="C285" i="343"/>
  <c r="D285" i="343"/>
  <c r="D34" i="126"/>
  <c r="E285" i="343"/>
  <c r="E34" i="126"/>
  <c r="F285" i="343"/>
  <c r="F34" i="126"/>
  <c r="G285" i="343"/>
  <c r="G34" i="126"/>
  <c r="H285" i="343"/>
  <c r="H34" i="126" s="1"/>
  <c r="I285" i="343"/>
  <c r="I34" i="126" s="1"/>
  <c r="J285" i="343"/>
  <c r="J34" i="126" s="1"/>
  <c r="O33" i="140" s="1"/>
  <c r="N33" i="140" s="1"/>
  <c r="K285" i="343"/>
  <c r="L285" i="343"/>
  <c r="L34" i="126" s="1"/>
  <c r="Q33" i="140" s="1"/>
  <c r="A286" i="343"/>
  <c r="C296" i="343"/>
  <c r="C35" i="126" s="1"/>
  <c r="D296" i="343"/>
  <c r="D35" i="126" s="1"/>
  <c r="E296" i="343"/>
  <c r="E35" i="126" s="1"/>
  <c r="F296" i="343"/>
  <c r="F35" i="126" s="1"/>
  <c r="G296" i="343"/>
  <c r="G35" i="126" s="1"/>
  <c r="H296" i="343"/>
  <c r="H35" i="126" s="1"/>
  <c r="I296" i="343"/>
  <c r="J296" i="343"/>
  <c r="J35" i="126"/>
  <c r="O34" i="140" s="1"/>
  <c r="N34" i="140" s="1"/>
  <c r="K296" i="343"/>
  <c r="K35" i="126"/>
  <c r="P34" i="140" s="1"/>
  <c r="L296" i="343"/>
  <c r="L35" i="126" s="1"/>
  <c r="Q34" i="140" s="1"/>
  <c r="C307" i="343"/>
  <c r="C36" i="126" s="1"/>
  <c r="D307" i="343"/>
  <c r="D36" i="126" s="1"/>
  <c r="E307" i="343"/>
  <c r="E36" i="126" s="1"/>
  <c r="F307" i="343"/>
  <c r="G307" i="343"/>
  <c r="G36" i="126"/>
  <c r="H307" i="343"/>
  <c r="H36" i="126" s="1"/>
  <c r="I307" i="343"/>
  <c r="I36" i="126" s="1"/>
  <c r="J307" i="343"/>
  <c r="K307" i="343"/>
  <c r="K36" i="126"/>
  <c r="P35" i="140"/>
  <c r="L307" i="343"/>
  <c r="L36" i="126"/>
  <c r="Q35" i="140"/>
  <c r="C318" i="343"/>
  <c r="C37" i="126" s="1"/>
  <c r="D318" i="343"/>
  <c r="D37" i="126" s="1"/>
  <c r="E318" i="343"/>
  <c r="E37" i="126" s="1"/>
  <c r="F318" i="343"/>
  <c r="F37" i="126" s="1"/>
  <c r="G318" i="343"/>
  <c r="G37" i="126" s="1"/>
  <c r="H318" i="343"/>
  <c r="H37" i="126" s="1"/>
  <c r="I318" i="343"/>
  <c r="I37" i="126" s="1"/>
  <c r="J318" i="343"/>
  <c r="J37" i="126" s="1"/>
  <c r="O36" i="140" s="1"/>
  <c r="N36" i="140" s="1"/>
  <c r="K318" i="343"/>
  <c r="K37" i="126" s="1"/>
  <c r="P36" i="140" s="1"/>
  <c r="L318" i="343"/>
  <c r="L37" i="126"/>
  <c r="Q36" i="140" s="1"/>
  <c r="C329" i="343"/>
  <c r="C38" i="126" s="1"/>
  <c r="D329" i="343"/>
  <c r="E329" i="343"/>
  <c r="E38" i="126"/>
  <c r="F329" i="343"/>
  <c r="F38" i="126"/>
  <c r="G329" i="343"/>
  <c r="G38" i="126"/>
  <c r="H329" i="343"/>
  <c r="I329" i="343"/>
  <c r="I38" i="126" s="1"/>
  <c r="J329" i="343"/>
  <c r="J38" i="126" s="1"/>
  <c r="O37" i="140" s="1"/>
  <c r="N37" i="140" s="1"/>
  <c r="K329" i="343"/>
  <c r="K38" i="126" s="1"/>
  <c r="P37" i="140" s="1"/>
  <c r="L329" i="343"/>
  <c r="L38" i="126" s="1"/>
  <c r="Q37" i="140" s="1"/>
  <c r="A332" i="343"/>
  <c r="A2" i="126"/>
  <c r="B2" i="126"/>
  <c r="C3" i="126"/>
  <c r="D3" i="126"/>
  <c r="E3" i="126"/>
  <c r="F3" i="126"/>
  <c r="G3" i="126"/>
  <c r="H3" i="126"/>
  <c r="I3" i="126"/>
  <c r="C6" i="126"/>
  <c r="E6" i="126"/>
  <c r="F6" i="126"/>
  <c r="G6" i="126"/>
  <c r="H6" i="126"/>
  <c r="D8" i="126"/>
  <c r="E8" i="126"/>
  <c r="G8" i="126"/>
  <c r="H8" i="126"/>
  <c r="I8" i="126"/>
  <c r="C9" i="126"/>
  <c r="D9" i="126"/>
  <c r="G9" i="126"/>
  <c r="H9" i="126"/>
  <c r="I10" i="126"/>
  <c r="C12" i="126"/>
  <c r="F12" i="126"/>
  <c r="G12" i="126"/>
  <c r="H12" i="126"/>
  <c r="F13" i="126"/>
  <c r="G13" i="126"/>
  <c r="D14" i="126"/>
  <c r="F14" i="126"/>
  <c r="H14" i="126"/>
  <c r="C15" i="126"/>
  <c r="D15" i="126"/>
  <c r="G15" i="126"/>
  <c r="H15" i="126"/>
  <c r="D16" i="126"/>
  <c r="F16" i="126"/>
  <c r="I16" i="126"/>
  <c r="H17" i="126"/>
  <c r="C18" i="126"/>
  <c r="E18" i="126"/>
  <c r="G18" i="126"/>
  <c r="G19" i="126"/>
  <c r="I19" i="126"/>
  <c r="E20" i="126"/>
  <c r="H20" i="126"/>
  <c r="D24" i="126"/>
  <c r="F24" i="126"/>
  <c r="H24" i="126"/>
  <c r="J24" i="126"/>
  <c r="D25" i="126"/>
  <c r="L25" i="126"/>
  <c r="Q24" i="140"/>
  <c r="D26" i="126"/>
  <c r="H26" i="126"/>
  <c r="L26" i="126"/>
  <c r="Q25" i="140"/>
  <c r="E27" i="126"/>
  <c r="F27" i="126"/>
  <c r="K27" i="126"/>
  <c r="P26" i="140"/>
  <c r="H28" i="126"/>
  <c r="I28" i="126"/>
  <c r="D29" i="126"/>
  <c r="H29" i="126"/>
  <c r="L29" i="126"/>
  <c r="Q28" i="140"/>
  <c r="H30" i="126"/>
  <c r="D32" i="126"/>
  <c r="E32" i="126"/>
  <c r="F32" i="126"/>
  <c r="C33" i="126"/>
  <c r="G33" i="126"/>
  <c r="I33" i="126"/>
  <c r="K33" i="126"/>
  <c r="P32" i="140" s="1"/>
  <c r="C34" i="126"/>
  <c r="K34" i="126"/>
  <c r="P33" i="140"/>
  <c r="I35" i="126"/>
  <c r="F36" i="126"/>
  <c r="J36" i="126"/>
  <c r="O35" i="140"/>
  <c r="N35" i="140" s="1"/>
  <c r="D38" i="126"/>
  <c r="H38" i="126"/>
  <c r="C43" i="126"/>
  <c r="D43" i="126"/>
  <c r="E43" i="126"/>
  <c r="F43" i="126"/>
  <c r="G43" i="126"/>
  <c r="H43" i="126"/>
  <c r="I43" i="126"/>
  <c r="J43" i="126"/>
  <c r="O5" i="300"/>
  <c r="K43" i="126"/>
  <c r="P5" i="300"/>
  <c r="L43" i="126"/>
  <c r="Q5" i="300"/>
  <c r="C47" i="126"/>
  <c r="D47" i="126"/>
  <c r="E47" i="126"/>
  <c r="F47" i="126"/>
  <c r="G47" i="126"/>
  <c r="H47" i="126"/>
  <c r="I47" i="126"/>
  <c r="J47" i="126"/>
  <c r="O9" i="300" s="1"/>
  <c r="K47" i="126"/>
  <c r="P9" i="300" s="1"/>
  <c r="L47" i="126"/>
  <c r="Q9" i="300" s="1"/>
  <c r="C53" i="126"/>
  <c r="D53" i="126"/>
  <c r="E53" i="126"/>
  <c r="F53" i="126"/>
  <c r="G53" i="126"/>
  <c r="H53" i="126"/>
  <c r="I53" i="126"/>
  <c r="J53" i="126"/>
  <c r="O15" i="300"/>
  <c r="K53" i="126"/>
  <c r="P15" i="300"/>
  <c r="L53" i="126"/>
  <c r="Q15" i="300"/>
  <c r="C57" i="126"/>
  <c r="D57" i="126"/>
  <c r="E57" i="126"/>
  <c r="F57" i="126"/>
  <c r="G57" i="126"/>
  <c r="H57" i="126"/>
  <c r="I57" i="126"/>
  <c r="J57" i="126"/>
  <c r="O19" i="300" s="1"/>
  <c r="K57" i="126"/>
  <c r="P19" i="300" s="1"/>
  <c r="L57" i="126"/>
  <c r="Q19" i="300" s="1"/>
  <c r="C70" i="126"/>
  <c r="D70" i="126"/>
  <c r="E70" i="126"/>
  <c r="F70" i="126"/>
  <c r="F74" i="126"/>
  <c r="G70" i="126"/>
  <c r="H70" i="126"/>
  <c r="I70" i="126"/>
  <c r="I74" i="126"/>
  <c r="J70" i="126"/>
  <c r="J74" i="126"/>
  <c r="K70" i="126"/>
  <c r="L70" i="126"/>
  <c r="K28" i="86" s="1"/>
  <c r="M107" i="123" s="1"/>
  <c r="G74" i="126"/>
  <c r="A75" i="126"/>
  <c r="A2" i="127"/>
  <c r="B2" i="127"/>
  <c r="M2" i="127"/>
  <c r="C3" i="127"/>
  <c r="D3" i="127"/>
  <c r="E3" i="127"/>
  <c r="F3" i="127"/>
  <c r="G3" i="127"/>
  <c r="H3" i="127"/>
  <c r="I3" i="127"/>
  <c r="C5" i="127"/>
  <c r="D5" i="127"/>
  <c r="E45" i="123" s="1"/>
  <c r="E5" i="127"/>
  <c r="G5" i="127"/>
  <c r="H45" i="123"/>
  <c r="H5" i="127"/>
  <c r="I5" i="127"/>
  <c r="K5" i="127"/>
  <c r="L5" i="127"/>
  <c r="C7" i="127"/>
  <c r="D7" i="127"/>
  <c r="E7" i="127"/>
  <c r="G7" i="127"/>
  <c r="H7" i="127"/>
  <c r="I46" i="123"/>
  <c r="I7" i="127"/>
  <c r="K7" i="127"/>
  <c r="L7" i="127"/>
  <c r="M46" i="123"/>
  <c r="C8" i="127"/>
  <c r="D47" i="123"/>
  <c r="D8" i="127"/>
  <c r="E47" i="123"/>
  <c r="E8" i="127"/>
  <c r="H8" i="127"/>
  <c r="I47" i="123" s="1"/>
  <c r="I8" i="127"/>
  <c r="K8" i="127"/>
  <c r="L47" i="123"/>
  <c r="L8" i="127"/>
  <c r="M47" i="123"/>
  <c r="C9" i="127"/>
  <c r="D48" i="123"/>
  <c r="D9" i="127"/>
  <c r="E48" i="123"/>
  <c r="E9" i="127"/>
  <c r="F48" i="123"/>
  <c r="G9" i="127"/>
  <c r="H48" i="123"/>
  <c r="H9" i="127"/>
  <c r="I48" i="123"/>
  <c r="I9" i="127"/>
  <c r="J48" i="123"/>
  <c r="K9" i="127"/>
  <c r="L9" i="127"/>
  <c r="M48" i="123" s="1"/>
  <c r="C10" i="127"/>
  <c r="D49" i="123" s="1"/>
  <c r="D10" i="127"/>
  <c r="E49" i="123" s="1"/>
  <c r="E10" i="127"/>
  <c r="F49" i="123" s="1"/>
  <c r="G10" i="127"/>
  <c r="H49" i="123" s="1"/>
  <c r="H10" i="127"/>
  <c r="I49" i="123" s="1"/>
  <c r="I10" i="127"/>
  <c r="J49" i="123" s="1"/>
  <c r="K10" i="127"/>
  <c r="P10" i="137" s="1"/>
  <c r="F10" i="137" s="1"/>
  <c r="L10" i="127"/>
  <c r="Q10" i="137"/>
  <c r="G10" i="137" s="1"/>
  <c r="C20" i="127"/>
  <c r="F20" i="127"/>
  <c r="G20" i="127"/>
  <c r="F9" i="86" s="1"/>
  <c r="I20" i="127"/>
  <c r="K20" i="127"/>
  <c r="M22" i="127"/>
  <c r="N22" i="127"/>
  <c r="O22" i="127"/>
  <c r="O38" i="127" s="1"/>
  <c r="P22" i="127"/>
  <c r="Q22" i="127"/>
  <c r="R22" i="127"/>
  <c r="R38" i="127" s="1"/>
  <c r="S22" i="127"/>
  <c r="T22" i="127"/>
  <c r="U22" i="127"/>
  <c r="V22" i="127"/>
  <c r="W22" i="127"/>
  <c r="X22" i="127"/>
  <c r="H25" i="127"/>
  <c r="L25" i="127"/>
  <c r="C28" i="127"/>
  <c r="G28" i="127"/>
  <c r="J28" i="127"/>
  <c r="L28" i="127"/>
  <c r="C30" i="127"/>
  <c r="E30" i="127"/>
  <c r="F30" i="127"/>
  <c r="I30" i="127"/>
  <c r="J30" i="127"/>
  <c r="I15" i="86"/>
  <c r="K30" i="127"/>
  <c r="D32" i="127"/>
  <c r="E32" i="127"/>
  <c r="F32" i="127"/>
  <c r="H32" i="127"/>
  <c r="I40" i="338"/>
  <c r="I32" i="127"/>
  <c r="J40" i="338"/>
  <c r="D34" i="127"/>
  <c r="G34" i="127"/>
  <c r="M36" i="127"/>
  <c r="M38" i="127"/>
  <c r="N36" i="127"/>
  <c r="O36" i="127"/>
  <c r="P36" i="127"/>
  <c r="P38" i="127"/>
  <c r="Q36" i="127"/>
  <c r="R36" i="127"/>
  <c r="S36" i="127"/>
  <c r="T36" i="127"/>
  <c r="T38" i="127"/>
  <c r="U36" i="127"/>
  <c r="V36" i="127"/>
  <c r="W36" i="127"/>
  <c r="X36" i="127"/>
  <c r="X38" i="127"/>
  <c r="D40" i="127"/>
  <c r="E40" i="127"/>
  <c r="F40" i="127"/>
  <c r="I40" i="127"/>
  <c r="J40" i="127"/>
  <c r="A48" i="127"/>
  <c r="M48" i="127"/>
  <c r="N48" i="127"/>
  <c r="O48" i="127"/>
  <c r="P48" i="127"/>
  <c r="Q48" i="127"/>
  <c r="R48" i="127"/>
  <c r="S48" i="127"/>
  <c r="T48" i="127"/>
  <c r="U48" i="127"/>
  <c r="V48" i="127"/>
  <c r="W48" i="127"/>
  <c r="X48" i="127"/>
  <c r="A49" i="127"/>
  <c r="A2" i="342"/>
  <c r="B2" i="342"/>
  <c r="L2" i="342"/>
  <c r="C3" i="342"/>
  <c r="D3" i="342"/>
  <c r="E3" i="342"/>
  <c r="F3" i="342"/>
  <c r="G3" i="342"/>
  <c r="H3" i="342"/>
  <c r="C5" i="342"/>
  <c r="D5" i="342"/>
  <c r="E5" i="342"/>
  <c r="F5" i="342"/>
  <c r="I5" i="342"/>
  <c r="I5" i="233"/>
  <c r="J5" i="342"/>
  <c r="J5" i="233"/>
  <c r="P5" i="299"/>
  <c r="K5" i="342"/>
  <c r="A6" i="342"/>
  <c r="A174" i="342" s="1"/>
  <c r="A7" i="342"/>
  <c r="A175" i="342" s="1"/>
  <c r="A8" i="342"/>
  <c r="A176" i="342" s="1"/>
  <c r="A9" i="342"/>
  <c r="A177" i="342" s="1"/>
  <c r="A10" i="342"/>
  <c r="A178" i="342" s="1"/>
  <c r="A11" i="342"/>
  <c r="A179" i="342" s="1"/>
  <c r="A12" i="342"/>
  <c r="A180" i="342" s="1"/>
  <c r="A13" i="342"/>
  <c r="A181" i="342" s="1"/>
  <c r="A14" i="342"/>
  <c r="A182" i="342" s="1"/>
  <c r="A15" i="342"/>
  <c r="A183" i="342" s="1"/>
  <c r="C16" i="342"/>
  <c r="D16" i="342"/>
  <c r="E16" i="342"/>
  <c r="E6" i="233" s="1"/>
  <c r="F16" i="342"/>
  <c r="F6" i="233" s="1"/>
  <c r="I16" i="342"/>
  <c r="I6" i="233" s="1"/>
  <c r="O6" i="299" s="1"/>
  <c r="J16" i="342"/>
  <c r="K16" i="342"/>
  <c r="A17" i="342"/>
  <c r="A185" i="342"/>
  <c r="A18" i="342"/>
  <c r="A186" i="342"/>
  <c r="A19" i="342"/>
  <c r="A187" i="342"/>
  <c r="A20" i="342"/>
  <c r="A188" i="342"/>
  <c r="A21" i="342"/>
  <c r="A189" i="342"/>
  <c r="A22" i="342"/>
  <c r="A190" i="342"/>
  <c r="A23" i="342"/>
  <c r="A191" i="342"/>
  <c r="A24" i="342"/>
  <c r="A192" i="342"/>
  <c r="A25" i="342"/>
  <c r="A193" i="342"/>
  <c r="A26" i="342"/>
  <c r="A194" i="342"/>
  <c r="C27" i="342"/>
  <c r="C7" i="233"/>
  <c r="D27" i="342"/>
  <c r="D7" i="233"/>
  <c r="E27" i="342"/>
  <c r="E7" i="233"/>
  <c r="F27" i="342"/>
  <c r="F7" i="233"/>
  <c r="G27" i="342"/>
  <c r="G7" i="233"/>
  <c r="I27" i="342"/>
  <c r="I7" i="233"/>
  <c r="O7" i="299" s="1"/>
  <c r="J27" i="342"/>
  <c r="K27" i="342"/>
  <c r="K7" i="233"/>
  <c r="Q7" i="299" s="1"/>
  <c r="A28" i="342"/>
  <c r="A196" i="342" s="1"/>
  <c r="A29" i="342"/>
  <c r="A197" i="342" s="1"/>
  <c r="A30" i="342"/>
  <c r="A198" i="342" s="1"/>
  <c r="A31" i="342"/>
  <c r="A199" i="342" s="1"/>
  <c r="A32" i="342"/>
  <c r="A200" i="342" s="1"/>
  <c r="A33" i="342"/>
  <c r="A201" i="342" s="1"/>
  <c r="A34" i="342"/>
  <c r="A202" i="342" s="1"/>
  <c r="A35" i="342"/>
  <c r="A203" i="342" s="1"/>
  <c r="A36" i="342"/>
  <c r="A204" i="342" s="1"/>
  <c r="A37" i="342"/>
  <c r="A205" i="342" s="1"/>
  <c r="C38" i="342"/>
  <c r="C8" i="233" s="1"/>
  <c r="D38" i="342"/>
  <c r="D8" i="233" s="1"/>
  <c r="E38" i="342"/>
  <c r="E8" i="233" s="1"/>
  <c r="F38" i="342"/>
  <c r="F8" i="233" s="1"/>
  <c r="I38" i="342"/>
  <c r="I8" i="233" s="1"/>
  <c r="O8" i="299" s="1"/>
  <c r="J38" i="342"/>
  <c r="J8" i="233"/>
  <c r="P8" i="299" s="1"/>
  <c r="K38" i="342"/>
  <c r="K8" i="233" s="1"/>
  <c r="Q8" i="299" s="1"/>
  <c r="A39" i="342"/>
  <c r="A207" i="342"/>
  <c r="A40" i="342"/>
  <c r="A208" i="342"/>
  <c r="A41" i="342"/>
  <c r="A209" i="342"/>
  <c r="A42" i="342"/>
  <c r="A210" i="342"/>
  <c r="A43" i="342"/>
  <c r="A211" i="342"/>
  <c r="A44" i="342"/>
  <c r="A212" i="342"/>
  <c r="A45" i="342"/>
  <c r="A213" i="342"/>
  <c r="A46" i="342"/>
  <c r="A214" i="342"/>
  <c r="A47" i="342"/>
  <c r="A215" i="342"/>
  <c r="A48" i="342"/>
  <c r="A216" i="342"/>
  <c r="C49" i="342"/>
  <c r="C9" i="233"/>
  <c r="D49" i="342"/>
  <c r="D9" i="233"/>
  <c r="E49" i="342"/>
  <c r="E9" i="233"/>
  <c r="F49" i="342"/>
  <c r="F9" i="233"/>
  <c r="G49" i="342"/>
  <c r="G9" i="233"/>
  <c r="H49" i="342"/>
  <c r="I49" i="342"/>
  <c r="J49" i="342"/>
  <c r="J9" i="233"/>
  <c r="P9" i="299" s="1"/>
  <c r="K49" i="342"/>
  <c r="K9" i="233" s="1"/>
  <c r="Q9" i="299" s="1"/>
  <c r="A50" i="342"/>
  <c r="A218" i="342"/>
  <c r="A51" i="342"/>
  <c r="A219" i="342"/>
  <c r="A52" i="342"/>
  <c r="A220" i="342"/>
  <c r="A53" i="342"/>
  <c r="A221" i="342"/>
  <c r="A54" i="342"/>
  <c r="A222" i="342"/>
  <c r="A55" i="342"/>
  <c r="A223" i="342"/>
  <c r="A56" i="342"/>
  <c r="A224" i="342"/>
  <c r="A57" i="342"/>
  <c r="A225" i="342"/>
  <c r="A58" i="342"/>
  <c r="A226" i="342"/>
  <c r="A59" i="342"/>
  <c r="A227" i="342"/>
  <c r="C60" i="342"/>
  <c r="C10" i="233"/>
  <c r="D60" i="342"/>
  <c r="D10" i="233"/>
  <c r="E60" i="342"/>
  <c r="E10" i="233"/>
  <c r="F60" i="342"/>
  <c r="F10" i="233"/>
  <c r="G60" i="342"/>
  <c r="G10" i="233"/>
  <c r="H60" i="342"/>
  <c r="H10" i="233"/>
  <c r="I60" i="342"/>
  <c r="I10" i="233"/>
  <c r="O10" i="299" s="1"/>
  <c r="N10" i="299" s="1"/>
  <c r="J60" i="342"/>
  <c r="J10" i="233"/>
  <c r="P10" i="299" s="1"/>
  <c r="K60" i="342"/>
  <c r="K10" i="233" s="1"/>
  <c r="Q10" i="299" s="1"/>
  <c r="A61" i="342"/>
  <c r="A229" i="342"/>
  <c r="A62" i="342"/>
  <c r="A230" i="342"/>
  <c r="A63" i="342"/>
  <c r="A231" i="342"/>
  <c r="A64" i="342"/>
  <c r="A232" i="342"/>
  <c r="A65" i="342"/>
  <c r="A233" i="342"/>
  <c r="A66" i="342"/>
  <c r="A234" i="342"/>
  <c r="A67" i="342"/>
  <c r="A235" i="342"/>
  <c r="A68" i="342"/>
  <c r="A236" i="342"/>
  <c r="A69" i="342"/>
  <c r="A237" i="342"/>
  <c r="A70" i="342"/>
  <c r="A238" i="342"/>
  <c r="C71" i="342"/>
  <c r="C11" i="233"/>
  <c r="D71" i="342"/>
  <c r="D11" i="233"/>
  <c r="E71" i="342"/>
  <c r="E11" i="233"/>
  <c r="F71" i="342"/>
  <c r="G71" i="342"/>
  <c r="G11" i="233"/>
  <c r="H71" i="342"/>
  <c r="H11" i="233"/>
  <c r="I71" i="342"/>
  <c r="I11" i="233"/>
  <c r="O11" i="299"/>
  <c r="J71" i="342"/>
  <c r="J11" i="233"/>
  <c r="P11" i="299" s="1"/>
  <c r="K71" i="342"/>
  <c r="K11" i="233" s="1"/>
  <c r="Q11" i="299" s="1"/>
  <c r="A72" i="342"/>
  <c r="A240" i="342"/>
  <c r="A73" i="342"/>
  <c r="A241" i="342"/>
  <c r="A74" i="342"/>
  <c r="A242" i="342"/>
  <c r="A75" i="342"/>
  <c r="A243" i="342"/>
  <c r="A76" i="342"/>
  <c r="A244" i="342"/>
  <c r="A77" i="342"/>
  <c r="A245" i="342"/>
  <c r="A78" i="342"/>
  <c r="A246" i="342"/>
  <c r="A79" i="342"/>
  <c r="A247" i="342"/>
  <c r="A80" i="342"/>
  <c r="A248" i="342"/>
  <c r="A81" i="342"/>
  <c r="A249" i="342"/>
  <c r="C82" i="342"/>
  <c r="C12" i="233" s="1"/>
  <c r="D82" i="342"/>
  <c r="E82" i="342"/>
  <c r="E12" i="233"/>
  <c r="F82" i="342"/>
  <c r="F12" i="233" s="1"/>
  <c r="G82" i="342"/>
  <c r="G12" i="233" s="1"/>
  <c r="H82" i="342"/>
  <c r="H12" i="233" s="1"/>
  <c r="I82" i="342"/>
  <c r="I12" i="233" s="1"/>
  <c r="O12" i="299" s="1"/>
  <c r="N12" i="299" s="1"/>
  <c r="J82" i="342"/>
  <c r="J12" i="233" s="1"/>
  <c r="P12" i="299" s="1"/>
  <c r="K82" i="342"/>
  <c r="K12" i="233"/>
  <c r="Q12" i="299"/>
  <c r="A83" i="342"/>
  <c r="A251" i="342" s="1"/>
  <c r="A84" i="342"/>
  <c r="A252" i="342" s="1"/>
  <c r="A85" i="342"/>
  <c r="A253" i="342" s="1"/>
  <c r="A86" i="342"/>
  <c r="A254" i="342" s="1"/>
  <c r="A87" i="342"/>
  <c r="A255" i="342" s="1"/>
  <c r="A88" i="342"/>
  <c r="A256" i="342" s="1"/>
  <c r="A89" i="342"/>
  <c r="A257" i="342" s="1"/>
  <c r="A90" i="342"/>
  <c r="A258" i="342" s="1"/>
  <c r="A91" i="342"/>
  <c r="A259" i="342" s="1"/>
  <c r="A92" i="342"/>
  <c r="A260" i="342" s="1"/>
  <c r="C93" i="342"/>
  <c r="C13" i="233" s="1"/>
  <c r="D93" i="342"/>
  <c r="E93" i="342"/>
  <c r="E13" i="233"/>
  <c r="F93" i="342"/>
  <c r="F13" i="233"/>
  <c r="G93" i="342"/>
  <c r="G13" i="233"/>
  <c r="H93" i="342"/>
  <c r="I93" i="342"/>
  <c r="I13" i="233" s="1"/>
  <c r="O13" i="299" s="1"/>
  <c r="N13" i="299" s="1"/>
  <c r="J93" i="342"/>
  <c r="J13" i="233" s="1"/>
  <c r="P13" i="299" s="1"/>
  <c r="K93" i="342"/>
  <c r="K13" i="233"/>
  <c r="Q13" i="299" s="1"/>
  <c r="A94" i="342"/>
  <c r="A262" i="342" s="1"/>
  <c r="A95" i="342"/>
  <c r="A263" i="342" s="1"/>
  <c r="A96" i="342"/>
  <c r="A264" i="342" s="1"/>
  <c r="A97" i="342"/>
  <c r="A265" i="342" s="1"/>
  <c r="A98" i="342"/>
  <c r="A266" i="342" s="1"/>
  <c r="A99" i="342"/>
  <c r="A267" i="342" s="1"/>
  <c r="A100" i="342"/>
  <c r="A268" i="342" s="1"/>
  <c r="A101" i="342"/>
  <c r="A269" i="342" s="1"/>
  <c r="A102" i="342"/>
  <c r="A270" i="342" s="1"/>
  <c r="A103" i="342"/>
  <c r="A271" i="342" s="1"/>
  <c r="C104" i="342"/>
  <c r="C14" i="233" s="1"/>
  <c r="D104" i="342"/>
  <c r="E104" i="342"/>
  <c r="E14" i="233"/>
  <c r="F104" i="342"/>
  <c r="F14" i="233"/>
  <c r="G104" i="342"/>
  <c r="G14" i="233"/>
  <c r="H104" i="342"/>
  <c r="H14" i="233" s="1"/>
  <c r="I104" i="342"/>
  <c r="I14" i="233"/>
  <c r="O14" i="299"/>
  <c r="N14" i="299"/>
  <c r="J104" i="342"/>
  <c r="K104" i="342"/>
  <c r="K14" i="233" s="1"/>
  <c r="Q14" i="299" s="1"/>
  <c r="A105" i="342"/>
  <c r="A273" i="342"/>
  <c r="A106" i="342"/>
  <c r="A274" i="342"/>
  <c r="A107" i="342"/>
  <c r="A275" i="342"/>
  <c r="A108" i="342"/>
  <c r="A276" i="342"/>
  <c r="A109" i="342"/>
  <c r="A277" i="342"/>
  <c r="A110" i="342"/>
  <c r="A278" i="342"/>
  <c r="A111" i="342"/>
  <c r="A279" i="342"/>
  <c r="A112" i="342"/>
  <c r="A280" i="342"/>
  <c r="A113" i="342"/>
  <c r="A281" i="342"/>
  <c r="A114" i="342"/>
  <c r="A282" i="342"/>
  <c r="C115" i="342"/>
  <c r="C15" i="233"/>
  <c r="D115" i="342"/>
  <c r="D15" i="233"/>
  <c r="E115" i="342"/>
  <c r="E15" i="233"/>
  <c r="F115" i="342"/>
  <c r="F15" i="233"/>
  <c r="G115" i="342"/>
  <c r="G15" i="233"/>
  <c r="H115" i="342"/>
  <c r="H15" i="233" s="1"/>
  <c r="I115" i="342"/>
  <c r="I15" i="233" s="1"/>
  <c r="O15" i="299" s="1"/>
  <c r="N15" i="299" s="1"/>
  <c r="J115" i="342"/>
  <c r="K115" i="342"/>
  <c r="K15" i="233" s="1"/>
  <c r="Q15" i="299" s="1"/>
  <c r="A116" i="342"/>
  <c r="A284" i="342" s="1"/>
  <c r="A117" i="342"/>
  <c r="A285" i="342"/>
  <c r="A118" i="342"/>
  <c r="A286" i="342"/>
  <c r="A119" i="342"/>
  <c r="A287" i="342"/>
  <c r="A120" i="342"/>
  <c r="A288" i="342"/>
  <c r="A121" i="342"/>
  <c r="A289" i="342"/>
  <c r="A122" i="342"/>
  <c r="A290" i="342"/>
  <c r="A123" i="342"/>
  <c r="A291" i="342" s="1"/>
  <c r="A124" i="342"/>
  <c r="A292" i="342"/>
  <c r="A125" i="342"/>
  <c r="A293" i="342" s="1"/>
  <c r="C126" i="342"/>
  <c r="C16" i="233" s="1"/>
  <c r="D126" i="342"/>
  <c r="D16" i="233" s="1"/>
  <c r="E126" i="342"/>
  <c r="F126" i="342"/>
  <c r="G126" i="342"/>
  <c r="G16" i="233" s="1"/>
  <c r="H126" i="342"/>
  <c r="H16" i="233" s="1"/>
  <c r="I126" i="342"/>
  <c r="I16" i="233" s="1"/>
  <c r="O16" i="299" s="1"/>
  <c r="N16" i="299" s="1"/>
  <c r="J126" i="342"/>
  <c r="K126" i="342"/>
  <c r="K16" i="233"/>
  <c r="Q16" i="299" s="1"/>
  <c r="A127" i="342"/>
  <c r="A295" i="342" s="1"/>
  <c r="A128" i="342"/>
  <c r="A296" i="342" s="1"/>
  <c r="A129" i="342"/>
  <c r="A297" i="342" s="1"/>
  <c r="A130" i="342"/>
  <c r="A298" i="342" s="1"/>
  <c r="A131" i="342"/>
  <c r="A299" i="342" s="1"/>
  <c r="A132" i="342"/>
  <c r="A300" i="342" s="1"/>
  <c r="A133" i="342"/>
  <c r="A301" i="342" s="1"/>
  <c r="A134" i="342"/>
  <c r="A302" i="342" s="1"/>
  <c r="A135" i="342"/>
  <c r="A303" i="342" s="1"/>
  <c r="A136" i="342"/>
  <c r="A304" i="342" s="1"/>
  <c r="C137" i="342"/>
  <c r="C17" i="233" s="1"/>
  <c r="D137" i="342"/>
  <c r="E137" i="342"/>
  <c r="E17" i="233"/>
  <c r="F137" i="342"/>
  <c r="G137" i="342"/>
  <c r="G17" i="233" s="1"/>
  <c r="H137" i="342"/>
  <c r="H17" i="233" s="1"/>
  <c r="I137" i="342"/>
  <c r="I17" i="233" s="1"/>
  <c r="O17" i="299" s="1"/>
  <c r="N17" i="299" s="1"/>
  <c r="J137" i="342"/>
  <c r="J17" i="233" s="1"/>
  <c r="P17" i="299" s="1"/>
  <c r="K137" i="342"/>
  <c r="K17" i="233" s="1"/>
  <c r="Q17" i="299" s="1"/>
  <c r="A138" i="342"/>
  <c r="A306" i="342" s="1"/>
  <c r="A139" i="342"/>
  <c r="A307" i="342" s="1"/>
  <c r="A140" i="342"/>
  <c r="A308" i="342" s="1"/>
  <c r="A141" i="342"/>
  <c r="A309" i="342" s="1"/>
  <c r="A142" i="342"/>
  <c r="A310" i="342" s="1"/>
  <c r="A143" i="342"/>
  <c r="A311" i="342" s="1"/>
  <c r="A144" i="342"/>
  <c r="A312" i="342"/>
  <c r="A145" i="342"/>
  <c r="A313" i="342"/>
  <c r="A146" i="342"/>
  <c r="A147" i="342"/>
  <c r="A315" i="342" s="1"/>
  <c r="C148" i="342"/>
  <c r="D148" i="342"/>
  <c r="E148" i="342"/>
  <c r="E18" i="233" s="1"/>
  <c r="F148" i="342"/>
  <c r="F18" i="233" s="1"/>
  <c r="G148" i="342"/>
  <c r="G18" i="233" s="1"/>
  <c r="H148" i="342"/>
  <c r="H18" i="233" s="1"/>
  <c r="I148" i="342"/>
  <c r="I18" i="233" s="1"/>
  <c r="O18" i="299" s="1"/>
  <c r="N18" i="299" s="1"/>
  <c r="J148" i="342"/>
  <c r="J18" i="233" s="1"/>
  <c r="P18" i="299" s="1"/>
  <c r="K148" i="342"/>
  <c r="A149" i="342"/>
  <c r="A317" i="342" s="1"/>
  <c r="A150" i="342"/>
  <c r="A318" i="342" s="1"/>
  <c r="A151" i="342"/>
  <c r="A319" i="342" s="1"/>
  <c r="A152" i="342"/>
  <c r="A320" i="342" s="1"/>
  <c r="A153" i="342"/>
  <c r="A321" i="342" s="1"/>
  <c r="A154" i="342"/>
  <c r="A322" i="342" s="1"/>
  <c r="A155" i="342"/>
  <c r="A323" i="342" s="1"/>
  <c r="A156" i="342"/>
  <c r="A324" i="342" s="1"/>
  <c r="A157" i="342"/>
  <c r="A325" i="342" s="1"/>
  <c r="A158" i="342"/>
  <c r="A326" i="342" s="1"/>
  <c r="C159" i="342"/>
  <c r="C19" i="233" s="1"/>
  <c r="D159" i="342"/>
  <c r="D19" i="233" s="1"/>
  <c r="E159" i="342"/>
  <c r="E19" i="233" s="1"/>
  <c r="F159" i="342"/>
  <c r="F19" i="233" s="1"/>
  <c r="G159" i="342"/>
  <c r="G19" i="233" s="1"/>
  <c r="H159" i="342"/>
  <c r="I159" i="342"/>
  <c r="I19" i="233"/>
  <c r="O19" i="299" s="1"/>
  <c r="N19" i="299" s="1"/>
  <c r="J159" i="342"/>
  <c r="J19" i="233"/>
  <c r="P19" i="299" s="1"/>
  <c r="K159" i="342"/>
  <c r="K19" i="233" s="1"/>
  <c r="Q19" i="299" s="1"/>
  <c r="A160" i="342"/>
  <c r="A328" i="342"/>
  <c r="A161" i="342"/>
  <c r="A329" i="342"/>
  <c r="A162" i="342"/>
  <c r="A330" i="342"/>
  <c r="A163" i="342"/>
  <c r="A331" i="342"/>
  <c r="A164" i="342"/>
  <c r="A332" i="342"/>
  <c r="A165" i="342"/>
  <c r="A333" i="342"/>
  <c r="A166" i="342"/>
  <c r="A334" i="342"/>
  <c r="A167" i="342"/>
  <c r="A335" i="342"/>
  <c r="A168" i="342"/>
  <c r="A336" i="342"/>
  <c r="A169" i="342"/>
  <c r="A337" i="342"/>
  <c r="L170" i="342"/>
  <c r="M170" i="342"/>
  <c r="N170" i="342"/>
  <c r="O170" i="342"/>
  <c r="P170" i="342"/>
  <c r="Q170" i="342"/>
  <c r="R170" i="342"/>
  <c r="S170" i="342"/>
  <c r="T170" i="342"/>
  <c r="T340" i="342" s="1"/>
  <c r="U170" i="342"/>
  <c r="V170" i="342"/>
  <c r="W170" i="342"/>
  <c r="C173" i="342"/>
  <c r="D173" i="342"/>
  <c r="D23" i="233" s="1"/>
  <c r="E173" i="342"/>
  <c r="E23" i="233" s="1"/>
  <c r="F173" i="342"/>
  <c r="F23" i="233" s="1"/>
  <c r="G173" i="342"/>
  <c r="G23" i="233" s="1"/>
  <c r="I173" i="342"/>
  <c r="I23" i="233" s="1"/>
  <c r="J173" i="342"/>
  <c r="K173" i="342"/>
  <c r="C184" i="342"/>
  <c r="D184" i="342"/>
  <c r="D24" i="233"/>
  <c r="E184" i="342"/>
  <c r="E24" i="233"/>
  <c r="F184" i="342"/>
  <c r="F24" i="233"/>
  <c r="I184" i="342"/>
  <c r="I24" i="233"/>
  <c r="O24" i="299"/>
  <c r="J184" i="342"/>
  <c r="J24" i="233"/>
  <c r="P24" i="299"/>
  <c r="K184" i="342"/>
  <c r="C195" i="342"/>
  <c r="C25" i="233" s="1"/>
  <c r="D195" i="342"/>
  <c r="E195" i="342"/>
  <c r="E25" i="233"/>
  <c r="F195" i="342"/>
  <c r="F25" i="233"/>
  <c r="G195" i="342"/>
  <c r="G25" i="233"/>
  <c r="H195" i="342"/>
  <c r="H25" i="233" s="1"/>
  <c r="C206" i="342"/>
  <c r="C26" i="233" s="1"/>
  <c r="D206" i="342"/>
  <c r="D26" i="233" s="1"/>
  <c r="E206" i="342"/>
  <c r="F206" i="342"/>
  <c r="F26" i="233"/>
  <c r="I206" i="342"/>
  <c r="J206" i="342"/>
  <c r="J26" i="233" s="1"/>
  <c r="K206" i="342"/>
  <c r="C217" i="342"/>
  <c r="C27" i="233"/>
  <c r="D217" i="342"/>
  <c r="D27" i="233"/>
  <c r="E217" i="342"/>
  <c r="E27" i="233" s="1"/>
  <c r="F217" i="342"/>
  <c r="F27" i="233" s="1"/>
  <c r="G217" i="342"/>
  <c r="G27" i="233" s="1"/>
  <c r="H217" i="342"/>
  <c r="H27" i="233" s="1"/>
  <c r="K217" i="342"/>
  <c r="K27" i="233" s="1"/>
  <c r="Q27" i="299" s="1"/>
  <c r="C228" i="342"/>
  <c r="C28" i="233"/>
  <c r="D228" i="342"/>
  <c r="E228" i="342"/>
  <c r="E28" i="233" s="1"/>
  <c r="F228" i="342"/>
  <c r="F28" i="233" s="1"/>
  <c r="G228" i="342"/>
  <c r="G28" i="233" s="1"/>
  <c r="H228" i="342"/>
  <c r="K228" i="342"/>
  <c r="K28" i="233"/>
  <c r="Q28" i="299"/>
  <c r="C239" i="342"/>
  <c r="C29" i="233" s="1"/>
  <c r="D239" i="342"/>
  <c r="D29" i="233" s="1"/>
  <c r="E239" i="342"/>
  <c r="F239" i="342"/>
  <c r="F29" i="233"/>
  <c r="G239" i="342"/>
  <c r="G29" i="233"/>
  <c r="H239" i="342"/>
  <c r="H29" i="233"/>
  <c r="K239" i="342"/>
  <c r="K29" i="233" s="1"/>
  <c r="Q29" i="299" s="1"/>
  <c r="C250" i="342"/>
  <c r="C30" i="233" s="1"/>
  <c r="D250" i="342"/>
  <c r="D30" i="233" s="1"/>
  <c r="E250" i="342"/>
  <c r="E30" i="233" s="1"/>
  <c r="F250" i="342"/>
  <c r="G250" i="342"/>
  <c r="G30" i="233"/>
  <c r="H250" i="342"/>
  <c r="H30" i="233" s="1"/>
  <c r="K250" i="342"/>
  <c r="K30" i="233" s="1"/>
  <c r="Q30" i="299" s="1"/>
  <c r="C261" i="342"/>
  <c r="C31" i="233"/>
  <c r="D261" i="342"/>
  <c r="D31" i="233"/>
  <c r="E261" i="342"/>
  <c r="F261" i="342"/>
  <c r="F31" i="233" s="1"/>
  <c r="G261" i="342"/>
  <c r="G31" i="233" s="1"/>
  <c r="H261" i="342"/>
  <c r="H31" i="233" s="1"/>
  <c r="J31" i="233"/>
  <c r="P31" i="299" s="1"/>
  <c r="K261" i="342"/>
  <c r="K31" i="233" s="1"/>
  <c r="Q31" i="299" s="1"/>
  <c r="C272" i="342"/>
  <c r="D272" i="342"/>
  <c r="D32" i="233" s="1"/>
  <c r="E272" i="342"/>
  <c r="E32" i="233" s="1"/>
  <c r="F272" i="342"/>
  <c r="F32" i="233" s="1"/>
  <c r="G272" i="342"/>
  <c r="G32" i="233" s="1"/>
  <c r="H272" i="342"/>
  <c r="H32" i="233" s="1"/>
  <c r="I32" i="233"/>
  <c r="O32" i="299"/>
  <c r="N32" i="299"/>
  <c r="K272" i="342"/>
  <c r="K32" i="233"/>
  <c r="Q32" i="299" s="1"/>
  <c r="C283" i="342"/>
  <c r="C33" i="233" s="1"/>
  <c r="D283" i="342"/>
  <c r="D33" i="233" s="1"/>
  <c r="E283" i="342"/>
  <c r="E33" i="233" s="1"/>
  <c r="F283" i="342"/>
  <c r="F33" i="233" s="1"/>
  <c r="G283" i="342"/>
  <c r="G33" i="233" s="1"/>
  <c r="H283" i="342"/>
  <c r="H33" i="233" s="1"/>
  <c r="K283" i="342"/>
  <c r="K33" i="233" s="1"/>
  <c r="Q33" i="299" s="1"/>
  <c r="C294" i="342"/>
  <c r="C34" i="233"/>
  <c r="D294" i="342"/>
  <c r="D34" i="233"/>
  <c r="E294" i="342"/>
  <c r="E34" i="233"/>
  <c r="F294" i="342"/>
  <c r="F34" i="233"/>
  <c r="G294" i="342"/>
  <c r="H294" i="342"/>
  <c r="H34" i="233" s="1"/>
  <c r="J34" i="233"/>
  <c r="P34" i="299" s="1"/>
  <c r="K294" i="342"/>
  <c r="K34" i="233" s="1"/>
  <c r="Q34" i="299" s="1"/>
  <c r="C305" i="342"/>
  <c r="D305" i="342"/>
  <c r="D35" i="233" s="1"/>
  <c r="E305" i="342"/>
  <c r="F305" i="342"/>
  <c r="F35" i="233"/>
  <c r="G305" i="342"/>
  <c r="G35" i="233"/>
  <c r="H305" i="342"/>
  <c r="H35" i="233"/>
  <c r="J35" i="233"/>
  <c r="P35" i="299"/>
  <c r="K305" i="342"/>
  <c r="K35" i="233"/>
  <c r="Q35" i="299" s="1"/>
  <c r="A314" i="342"/>
  <c r="C316" i="342"/>
  <c r="C36" i="233"/>
  <c r="D316" i="342"/>
  <c r="D36" i="233"/>
  <c r="E316" i="342"/>
  <c r="E36" i="233"/>
  <c r="F316" i="342"/>
  <c r="F36" i="233"/>
  <c r="G316" i="342"/>
  <c r="G36" i="233"/>
  <c r="H316" i="342"/>
  <c r="H36" i="233"/>
  <c r="J36" i="233"/>
  <c r="P36" i="299"/>
  <c r="K316" i="342"/>
  <c r="C327" i="342"/>
  <c r="C37" i="233" s="1"/>
  <c r="D327" i="342"/>
  <c r="E327" i="342"/>
  <c r="E37" i="233"/>
  <c r="F327" i="342"/>
  <c r="F37" i="233"/>
  <c r="G327" i="342"/>
  <c r="G37" i="233"/>
  <c r="H327" i="342"/>
  <c r="K327" i="342"/>
  <c r="K37" i="233" s="1"/>
  <c r="Q37" i="299" s="1"/>
  <c r="L338" i="342"/>
  <c r="M338" i="342"/>
  <c r="N338" i="342"/>
  <c r="N340" i="342" s="1"/>
  <c r="O338" i="342"/>
  <c r="P338" i="342"/>
  <c r="Q338" i="342"/>
  <c r="R338" i="342"/>
  <c r="S338" i="342"/>
  <c r="T338" i="342"/>
  <c r="U338" i="342"/>
  <c r="V338" i="342"/>
  <c r="W338" i="342"/>
  <c r="A340" i="342"/>
  <c r="S340" i="342"/>
  <c r="A341" i="342"/>
  <c r="A2" i="233"/>
  <c r="B2" i="233"/>
  <c r="L2" i="233"/>
  <c r="C3" i="233"/>
  <c r="D3" i="233"/>
  <c r="E3" i="233"/>
  <c r="F3" i="233"/>
  <c r="G3" i="233"/>
  <c r="H3" i="233"/>
  <c r="D5" i="233"/>
  <c r="F5" i="233"/>
  <c r="D6" i="233"/>
  <c r="J6" i="233"/>
  <c r="P6" i="299"/>
  <c r="J7" i="233"/>
  <c r="P7" i="299"/>
  <c r="H9" i="233"/>
  <c r="F11" i="233"/>
  <c r="D12" i="233"/>
  <c r="D13" i="233"/>
  <c r="H13" i="233"/>
  <c r="J14" i="233"/>
  <c r="P14" i="299" s="1"/>
  <c r="J15" i="233"/>
  <c r="P15" i="299"/>
  <c r="L15" i="233"/>
  <c r="E16" i="233"/>
  <c r="F16" i="233"/>
  <c r="J16" i="233"/>
  <c r="P16" i="299"/>
  <c r="L16" i="233"/>
  <c r="D17" i="233"/>
  <c r="F17" i="233"/>
  <c r="L17" i="233"/>
  <c r="C18" i="233"/>
  <c r="D18" i="233"/>
  <c r="K18" i="233"/>
  <c r="Q18" i="299"/>
  <c r="H19" i="233"/>
  <c r="J23" i="233"/>
  <c r="P23" i="299" s="1"/>
  <c r="C24" i="233"/>
  <c r="K24" i="233"/>
  <c r="Q24" i="299"/>
  <c r="D25" i="233"/>
  <c r="K26" i="233"/>
  <c r="Q26" i="299"/>
  <c r="I27" i="233"/>
  <c r="O27" i="299"/>
  <c r="N27" i="299"/>
  <c r="J27" i="233"/>
  <c r="P27" i="299"/>
  <c r="D28" i="233"/>
  <c r="H28" i="233"/>
  <c r="I28" i="233"/>
  <c r="O28" i="299"/>
  <c r="N28" i="299" s="1"/>
  <c r="J28" i="233"/>
  <c r="P28" i="299" s="1"/>
  <c r="E29" i="233"/>
  <c r="I29" i="233"/>
  <c r="O29" i="299"/>
  <c r="N29" i="299" s="1"/>
  <c r="J29" i="233"/>
  <c r="P29" i="299" s="1"/>
  <c r="F30" i="233"/>
  <c r="I30" i="233"/>
  <c r="O30" i="299"/>
  <c r="N30" i="299"/>
  <c r="J30" i="233"/>
  <c r="P30" i="299"/>
  <c r="E31" i="233"/>
  <c r="I31" i="233"/>
  <c r="O31" i="299" s="1"/>
  <c r="N31" i="299" s="1"/>
  <c r="C32" i="233"/>
  <c r="J32" i="233"/>
  <c r="P32" i="299" s="1"/>
  <c r="I33" i="233"/>
  <c r="O33" i="299" s="1"/>
  <c r="N33" i="299" s="1"/>
  <c r="J33" i="233"/>
  <c r="P33" i="299"/>
  <c r="L33" i="233"/>
  <c r="G34" i="233"/>
  <c r="I34" i="233"/>
  <c r="O34" i="299"/>
  <c r="N34" i="299" s="1"/>
  <c r="L34" i="233"/>
  <c r="C35" i="233"/>
  <c r="E35" i="233"/>
  <c r="I35" i="233"/>
  <c r="O35" i="299"/>
  <c r="N35" i="299" s="1"/>
  <c r="L35" i="233"/>
  <c r="I36" i="233"/>
  <c r="O36" i="299"/>
  <c r="N36" i="299" s="1"/>
  <c r="K36" i="233"/>
  <c r="Q36" i="299" s="1"/>
  <c r="L36" i="233"/>
  <c r="D37" i="233"/>
  <c r="H37" i="233"/>
  <c r="I37" i="233"/>
  <c r="O37" i="299"/>
  <c r="N37" i="299" s="1"/>
  <c r="J37" i="233"/>
  <c r="P37" i="299" s="1"/>
  <c r="L37" i="233"/>
  <c r="L38" i="233"/>
  <c r="L39" i="233"/>
  <c r="M38" i="233"/>
  <c r="M39" i="233"/>
  <c r="N38" i="233"/>
  <c r="N39" i="233"/>
  <c r="O38" i="233"/>
  <c r="O39" i="233"/>
  <c r="P38" i="233"/>
  <c r="Q38" i="233"/>
  <c r="Q39" i="233" s="1"/>
  <c r="R38" i="233"/>
  <c r="S38" i="233"/>
  <c r="S39" i="233"/>
  <c r="T38" i="233"/>
  <c r="T39" i="233"/>
  <c r="U38" i="233"/>
  <c r="U39" i="233"/>
  <c r="V38" i="233"/>
  <c r="W38" i="233"/>
  <c r="W39" i="233" s="1"/>
  <c r="A39" i="233"/>
  <c r="A45" i="233" s="1"/>
  <c r="P39" i="233"/>
  <c r="R39" i="233"/>
  <c r="V39" i="233"/>
  <c r="A40" i="233"/>
  <c r="A2" i="351"/>
  <c r="B2" i="351"/>
  <c r="C3" i="351"/>
  <c r="D3" i="351"/>
  <c r="E3" i="351"/>
  <c r="F3" i="351"/>
  <c r="G3" i="351"/>
  <c r="H3" i="351"/>
  <c r="C6" i="351"/>
  <c r="C6" i="133" s="1"/>
  <c r="D6" i="351"/>
  <c r="E6" i="351"/>
  <c r="F6" i="351"/>
  <c r="F6" i="133"/>
  <c r="G6" i="351"/>
  <c r="I6" i="351"/>
  <c r="J6" i="351"/>
  <c r="K6" i="351"/>
  <c r="K6" i="133"/>
  <c r="Q6" i="298"/>
  <c r="C8" i="133"/>
  <c r="D10" i="351"/>
  <c r="D5" i="351"/>
  <c r="E10" i="351"/>
  <c r="E8" i="133"/>
  <c r="F10" i="351"/>
  <c r="G10" i="351"/>
  <c r="G8" i="133" s="1"/>
  <c r="I10" i="351"/>
  <c r="I8" i="133" s="1"/>
  <c r="O8" i="298" s="1"/>
  <c r="J10" i="351"/>
  <c r="J8" i="133"/>
  <c r="P8" i="298" s="1"/>
  <c r="K10" i="351"/>
  <c r="K8" i="133" s="1"/>
  <c r="Q8" i="298" s="1"/>
  <c r="C16" i="351"/>
  <c r="D16" i="351"/>
  <c r="D10" i="133" s="1"/>
  <c r="F16" i="351"/>
  <c r="G16" i="351"/>
  <c r="I16" i="351"/>
  <c r="J16" i="351"/>
  <c r="J10" i="133" s="1"/>
  <c r="P10" i="298" s="1"/>
  <c r="K16" i="351"/>
  <c r="K10" i="133"/>
  <c r="C26" i="351"/>
  <c r="D26" i="351"/>
  <c r="E26" i="351"/>
  <c r="F26" i="351"/>
  <c r="F12" i="133"/>
  <c r="G26" i="351"/>
  <c r="G15" i="351" s="1"/>
  <c r="I26" i="351"/>
  <c r="I12" i="133" s="1"/>
  <c r="O12" i="298" s="1"/>
  <c r="J26" i="351"/>
  <c r="J12" i="133"/>
  <c r="K26" i="351"/>
  <c r="C33" i="351"/>
  <c r="C15" i="351" s="1"/>
  <c r="D33" i="351"/>
  <c r="D14" i="133" s="1"/>
  <c r="E33" i="351"/>
  <c r="E14" i="133" s="1"/>
  <c r="F33" i="351"/>
  <c r="F14" i="133" s="1"/>
  <c r="G33" i="351"/>
  <c r="G14" i="133" s="1"/>
  <c r="I33" i="351"/>
  <c r="I14" i="133" s="1"/>
  <c r="O14" i="298" s="1"/>
  <c r="J33" i="351"/>
  <c r="K33" i="351"/>
  <c r="K14" i="133" s="1"/>
  <c r="Q14" i="298" s="1"/>
  <c r="C38" i="351"/>
  <c r="C16" i="133"/>
  <c r="D38" i="351"/>
  <c r="D16" i="133"/>
  <c r="E38" i="351"/>
  <c r="E16" i="133"/>
  <c r="F38" i="351"/>
  <c r="I38" i="351"/>
  <c r="J38" i="351"/>
  <c r="K38" i="351"/>
  <c r="C42" i="351"/>
  <c r="C17" i="133"/>
  <c r="D42" i="351"/>
  <c r="D17" i="133"/>
  <c r="E42" i="351"/>
  <c r="E17" i="133"/>
  <c r="F42" i="351"/>
  <c r="F17" i="133"/>
  <c r="G42" i="351"/>
  <c r="G17" i="133" s="1"/>
  <c r="H42" i="351"/>
  <c r="H17" i="133"/>
  <c r="I42" i="351"/>
  <c r="I17" i="133" s="1"/>
  <c r="O17" i="298" s="1"/>
  <c r="J42" i="351"/>
  <c r="J17" i="133"/>
  <c r="P17" i="298"/>
  <c r="K42" i="351"/>
  <c r="C48" i="351"/>
  <c r="C18" i="133" s="1"/>
  <c r="D48" i="351"/>
  <c r="D18" i="133" s="1"/>
  <c r="E48" i="351"/>
  <c r="E18" i="133" s="1"/>
  <c r="F48" i="351"/>
  <c r="F18" i="133" s="1"/>
  <c r="G48" i="351"/>
  <c r="G18" i="133" s="1"/>
  <c r="H48" i="351"/>
  <c r="I48" i="351"/>
  <c r="I18" i="133"/>
  <c r="O18" i="298" s="1"/>
  <c r="N18" i="298" s="1"/>
  <c r="J48" i="351"/>
  <c r="J18" i="133"/>
  <c r="P18" i="298" s="1"/>
  <c r="K48" i="351"/>
  <c r="K18" i="133" s="1"/>
  <c r="Q18" i="298" s="1"/>
  <c r="C53" i="351"/>
  <c r="C20" i="133"/>
  <c r="D53" i="351"/>
  <c r="D20" i="133"/>
  <c r="E53" i="351"/>
  <c r="E20" i="133"/>
  <c r="F53" i="351"/>
  <c r="F20" i="133"/>
  <c r="G53" i="351"/>
  <c r="I53" i="351"/>
  <c r="J53" i="351"/>
  <c r="K53" i="351"/>
  <c r="K20" i="133"/>
  <c r="C56" i="351"/>
  <c r="C21" i="133"/>
  <c r="D56" i="351"/>
  <c r="D21" i="133" s="1"/>
  <c r="E56" i="351"/>
  <c r="E21" i="133" s="1"/>
  <c r="F56" i="351"/>
  <c r="F21" i="133" s="1"/>
  <c r="G56" i="351"/>
  <c r="G21" i="133" s="1"/>
  <c r="I56" i="351"/>
  <c r="J56" i="351"/>
  <c r="J21" i="133"/>
  <c r="P21" i="298" s="1"/>
  <c r="K56" i="351"/>
  <c r="C59" i="351"/>
  <c r="C22" i="133"/>
  <c r="D59" i="351"/>
  <c r="D22" i="133"/>
  <c r="E59" i="351"/>
  <c r="E22" i="133"/>
  <c r="F59" i="351"/>
  <c r="I59" i="351"/>
  <c r="I22" i="133" s="1"/>
  <c r="O22" i="298" s="1"/>
  <c r="J59" i="351"/>
  <c r="J22" i="133"/>
  <c r="K59" i="351"/>
  <c r="K22" i="133"/>
  <c r="Q22" i="298" s="1"/>
  <c r="C63" i="351"/>
  <c r="C23" i="133" s="1"/>
  <c r="D63" i="351"/>
  <c r="D23" i="133" s="1"/>
  <c r="E63" i="351"/>
  <c r="E23" i="133" s="1"/>
  <c r="F63" i="351"/>
  <c r="F23" i="133" s="1"/>
  <c r="G63" i="351"/>
  <c r="G23" i="133" s="1"/>
  <c r="I63" i="351"/>
  <c r="I23" i="133" s="1"/>
  <c r="O23" i="298" s="1"/>
  <c r="J63" i="351"/>
  <c r="J23" i="133"/>
  <c r="P23" i="298" s="1"/>
  <c r="K63" i="351"/>
  <c r="C65" i="351"/>
  <c r="C24" i="133"/>
  <c r="D65" i="351"/>
  <c r="D24" i="133"/>
  <c r="E65" i="351"/>
  <c r="E24" i="133"/>
  <c r="F65" i="351"/>
  <c r="I24" i="133"/>
  <c r="O24" i="298"/>
  <c r="J65" i="351"/>
  <c r="J24" i="133"/>
  <c r="P24" i="298"/>
  <c r="K65" i="351"/>
  <c r="K24" i="133"/>
  <c r="Q24" i="298" s="1"/>
  <c r="A71" i="351"/>
  <c r="A74" i="351"/>
  <c r="A75" i="351"/>
  <c r="C75" i="351"/>
  <c r="D75" i="351"/>
  <c r="E75" i="351"/>
  <c r="F75" i="351"/>
  <c r="G75" i="351"/>
  <c r="G29" i="133"/>
  <c r="H75" i="351"/>
  <c r="H29" i="133"/>
  <c r="H28" i="133" s="1"/>
  <c r="I75" i="351"/>
  <c r="J75" i="351"/>
  <c r="J29" i="133"/>
  <c r="P29" i="298" s="1"/>
  <c r="K75" i="351"/>
  <c r="K29" i="133" s="1"/>
  <c r="A76" i="351"/>
  <c r="A77" i="351"/>
  <c r="A78" i="351"/>
  <c r="A79" i="351"/>
  <c r="C79" i="351"/>
  <c r="C31" i="133" s="1"/>
  <c r="D79" i="351"/>
  <c r="E79" i="351"/>
  <c r="E31" i="133"/>
  <c r="F79" i="351"/>
  <c r="G79" i="351"/>
  <c r="H79" i="351"/>
  <c r="H31" i="133"/>
  <c r="I79" i="351"/>
  <c r="J79" i="351"/>
  <c r="K79" i="351"/>
  <c r="K31" i="133"/>
  <c r="Q31" i="298" s="1"/>
  <c r="A80" i="351"/>
  <c r="A81" i="351"/>
  <c r="A82" i="351"/>
  <c r="A83" i="351"/>
  <c r="A84" i="351"/>
  <c r="A85" i="351"/>
  <c r="C85" i="351"/>
  <c r="C33" i="133" s="1"/>
  <c r="D85" i="351"/>
  <c r="E85" i="351"/>
  <c r="E33" i="133"/>
  <c r="F85" i="351"/>
  <c r="F33" i="133"/>
  <c r="G85" i="351"/>
  <c r="H85" i="351"/>
  <c r="I85" i="351"/>
  <c r="J85" i="351"/>
  <c r="J33" i="133" s="1"/>
  <c r="K85" i="351"/>
  <c r="K33" i="133" s="1"/>
  <c r="A86" i="351"/>
  <c r="A87" i="351"/>
  <c r="A88" i="351"/>
  <c r="A89" i="351"/>
  <c r="A90" i="351"/>
  <c r="A91" i="351"/>
  <c r="A92" i="351"/>
  <c r="A93" i="351"/>
  <c r="A94" i="351"/>
  <c r="A95" i="351"/>
  <c r="C95" i="351"/>
  <c r="C35" i="133" s="1"/>
  <c r="D95" i="351"/>
  <c r="D35" i="133" s="1"/>
  <c r="E95" i="351"/>
  <c r="E35" i="133" s="1"/>
  <c r="F95" i="351"/>
  <c r="F35" i="133" s="1"/>
  <c r="G95" i="351"/>
  <c r="G35" i="133" s="1"/>
  <c r="H95" i="351"/>
  <c r="H35" i="133" s="1"/>
  <c r="I95" i="351"/>
  <c r="J95" i="351"/>
  <c r="J35" i="133"/>
  <c r="P35" i="298" s="1"/>
  <c r="K95" i="351"/>
  <c r="K35" i="133" s="1"/>
  <c r="Q35" i="298" s="1"/>
  <c r="A96" i="351"/>
  <c r="A97" i="351"/>
  <c r="A98" i="351"/>
  <c r="A99" i="351"/>
  <c r="A100" i="351"/>
  <c r="A101" i="351"/>
  <c r="A102" i="351"/>
  <c r="C102" i="351"/>
  <c r="D102" i="351"/>
  <c r="E102" i="351"/>
  <c r="E37" i="133"/>
  <c r="F102" i="351"/>
  <c r="F37" i="133"/>
  <c r="G102" i="351"/>
  <c r="G37" i="133" s="1"/>
  <c r="H102" i="351"/>
  <c r="I102" i="351"/>
  <c r="I37" i="133"/>
  <c r="O37" i="298"/>
  <c r="J102" i="351"/>
  <c r="K102" i="351"/>
  <c r="K37" i="133" s="1"/>
  <c r="Q37" i="298" s="1"/>
  <c r="A103" i="351"/>
  <c r="A104" i="351"/>
  <c r="A105" i="351"/>
  <c r="A106" i="351"/>
  <c r="A107" i="351"/>
  <c r="C107" i="351"/>
  <c r="D107" i="351"/>
  <c r="E107" i="351"/>
  <c r="E39" i="133" s="1"/>
  <c r="F107" i="351"/>
  <c r="G107" i="351"/>
  <c r="G39" i="133"/>
  <c r="H107" i="351"/>
  <c r="I107" i="351"/>
  <c r="I39" i="133" s="1"/>
  <c r="O39" i="298" s="1"/>
  <c r="J107" i="351"/>
  <c r="K107" i="351"/>
  <c r="K39" i="133" s="1"/>
  <c r="Q39" i="298" s="1"/>
  <c r="A108" i="351"/>
  <c r="A109" i="351"/>
  <c r="A110" i="351"/>
  <c r="A111" i="351"/>
  <c r="C111" i="351"/>
  <c r="C40" i="133" s="1"/>
  <c r="D111" i="351"/>
  <c r="D40" i="133" s="1"/>
  <c r="E111" i="351"/>
  <c r="E40" i="133" s="1"/>
  <c r="F111" i="351"/>
  <c r="G111" i="351"/>
  <c r="G40" i="133" s="1"/>
  <c r="H111" i="351"/>
  <c r="H40" i="133" s="1"/>
  <c r="I111" i="351"/>
  <c r="I40" i="133" s="1"/>
  <c r="J111" i="351"/>
  <c r="J40" i="133" s="1"/>
  <c r="P40" i="298" s="1"/>
  <c r="K111" i="351"/>
  <c r="K40" i="133"/>
  <c r="A112" i="351"/>
  <c r="A113" i="351"/>
  <c r="A114" i="351"/>
  <c r="A115" i="351"/>
  <c r="A116" i="351"/>
  <c r="A117" i="351"/>
  <c r="C117" i="351"/>
  <c r="C41" i="133"/>
  <c r="D117" i="351"/>
  <c r="D41" i="133"/>
  <c r="D106" i="351"/>
  <c r="E117" i="351"/>
  <c r="E41" i="133" s="1"/>
  <c r="F117" i="351"/>
  <c r="G117" i="351"/>
  <c r="H117" i="351"/>
  <c r="I117" i="351"/>
  <c r="I41" i="133"/>
  <c r="O41" i="298"/>
  <c r="J117" i="351"/>
  <c r="J41" i="133"/>
  <c r="P41" i="298" s="1"/>
  <c r="K117" i="351"/>
  <c r="A118" i="351"/>
  <c r="A119" i="351"/>
  <c r="A120" i="351"/>
  <c r="A121" i="351"/>
  <c r="A122" i="351"/>
  <c r="C122" i="351"/>
  <c r="C43" i="133" s="1"/>
  <c r="D122" i="351"/>
  <c r="D43" i="133" s="1"/>
  <c r="E122" i="351"/>
  <c r="E43" i="133"/>
  <c r="F122" i="351"/>
  <c r="F43" i="133"/>
  <c r="G122" i="351"/>
  <c r="G43" i="133"/>
  <c r="I122" i="351"/>
  <c r="J122" i="351"/>
  <c r="J43" i="133" s="1"/>
  <c r="P43" i="298" s="1"/>
  <c r="K122" i="351"/>
  <c r="K43" i="133"/>
  <c r="Q43" i="298" s="1"/>
  <c r="A123" i="351"/>
  <c r="A124" i="351"/>
  <c r="A125" i="351"/>
  <c r="C125" i="351"/>
  <c r="C44" i="133"/>
  <c r="D125" i="351"/>
  <c r="D44" i="133"/>
  <c r="E125" i="351"/>
  <c r="E44" i="133"/>
  <c r="F125" i="351"/>
  <c r="F44" i="133"/>
  <c r="G125" i="351"/>
  <c r="G44" i="133"/>
  <c r="H125" i="351"/>
  <c r="H44" i="133"/>
  <c r="I125" i="351"/>
  <c r="I44" i="133"/>
  <c r="O44" i="298"/>
  <c r="J125" i="351"/>
  <c r="J44" i="133"/>
  <c r="P44" i="298" s="1"/>
  <c r="K125" i="351"/>
  <c r="K44" i="133" s="1"/>
  <c r="Q44" i="298" s="1"/>
  <c r="A126" i="351"/>
  <c r="A127" i="351"/>
  <c r="A128" i="351"/>
  <c r="C128" i="351"/>
  <c r="C45" i="133"/>
  <c r="D128" i="351"/>
  <c r="D45" i="133"/>
  <c r="E128" i="351"/>
  <c r="E45" i="133"/>
  <c r="F128" i="351"/>
  <c r="I128" i="351"/>
  <c r="I45" i="133" s="1"/>
  <c r="O45" i="298" s="1"/>
  <c r="J128" i="351"/>
  <c r="K128" i="351"/>
  <c r="K45" i="133" s="1"/>
  <c r="A129" i="351"/>
  <c r="A130" i="351"/>
  <c r="A131" i="351"/>
  <c r="A132" i="351"/>
  <c r="C132" i="351"/>
  <c r="C46" i="133" s="1"/>
  <c r="D132" i="351"/>
  <c r="D46" i="133" s="1"/>
  <c r="E132" i="351"/>
  <c r="F132" i="351"/>
  <c r="F46" i="133"/>
  <c r="I132" i="351"/>
  <c r="I46" i="133"/>
  <c r="O46" i="298" s="1"/>
  <c r="J132" i="351"/>
  <c r="J46" i="133" s="1"/>
  <c r="K132" i="351"/>
  <c r="K46" i="133" s="1"/>
  <c r="Q46" i="298" s="1"/>
  <c r="A133" i="351"/>
  <c r="A134" i="351"/>
  <c r="C134" i="351"/>
  <c r="C47" i="133" s="1"/>
  <c r="D134" i="351"/>
  <c r="D47" i="133" s="1"/>
  <c r="E134" i="351"/>
  <c r="E47" i="133" s="1"/>
  <c r="F134" i="351"/>
  <c r="F47" i="133" s="1"/>
  <c r="G134" i="351"/>
  <c r="G47" i="133" s="1"/>
  <c r="H134" i="351"/>
  <c r="H47" i="133" s="1"/>
  <c r="I134" i="351"/>
  <c r="I47" i="133" s="1"/>
  <c r="O47" i="298" s="1"/>
  <c r="J134" i="351"/>
  <c r="K134" i="351"/>
  <c r="K47" i="133" s="1"/>
  <c r="Q47" i="298" s="1"/>
  <c r="A135" i="351"/>
  <c r="A136" i="351"/>
  <c r="A137" i="351"/>
  <c r="A138" i="351"/>
  <c r="A139" i="351"/>
  <c r="A140" i="351"/>
  <c r="A141" i="351"/>
  <c r="A142" i="351"/>
  <c r="A2" i="133"/>
  <c r="B2" i="133"/>
  <c r="C3" i="133"/>
  <c r="D3" i="133"/>
  <c r="E3" i="133"/>
  <c r="F3" i="133"/>
  <c r="G3" i="133"/>
  <c r="H3" i="133"/>
  <c r="D6" i="133"/>
  <c r="G6" i="133"/>
  <c r="G5" i="133" s="1"/>
  <c r="C7" i="133"/>
  <c r="D7" i="133"/>
  <c r="E7" i="133"/>
  <c r="F7" i="133"/>
  <c r="H7" i="133"/>
  <c r="I7" i="133"/>
  <c r="O7" i="298"/>
  <c r="J7" i="133"/>
  <c r="P7" i="298"/>
  <c r="K7" i="133"/>
  <c r="D8" i="133"/>
  <c r="F10" i="133"/>
  <c r="C11" i="133"/>
  <c r="D11" i="133"/>
  <c r="E11" i="133"/>
  <c r="F11" i="133"/>
  <c r="I11" i="133"/>
  <c r="O11" i="298" s="1"/>
  <c r="J11" i="133"/>
  <c r="P11" i="298" s="1"/>
  <c r="K11" i="133"/>
  <c r="Q11" i="298" s="1"/>
  <c r="C12" i="133"/>
  <c r="D12" i="133"/>
  <c r="E12" i="133"/>
  <c r="G12" i="133"/>
  <c r="K12" i="133"/>
  <c r="Q12" i="298"/>
  <c r="C13" i="133"/>
  <c r="D13" i="133"/>
  <c r="E13" i="133"/>
  <c r="F13" i="133"/>
  <c r="G13" i="133"/>
  <c r="I13" i="133"/>
  <c r="O13" i="298" s="1"/>
  <c r="J13" i="133"/>
  <c r="P13" i="298" s="1"/>
  <c r="K13" i="133"/>
  <c r="Q13" i="298"/>
  <c r="J14" i="133"/>
  <c r="P14" i="298"/>
  <c r="K17" i="133"/>
  <c r="Q17" i="298"/>
  <c r="H18" i="133"/>
  <c r="J20" i="133"/>
  <c r="P20" i="298"/>
  <c r="K21" i="133"/>
  <c r="Q21" i="298"/>
  <c r="K23" i="133"/>
  <c r="Q23" i="298"/>
  <c r="F24" i="133"/>
  <c r="A25" i="133"/>
  <c r="A25" i="298" s="1"/>
  <c r="A28" i="133"/>
  <c r="A28" i="298" s="1"/>
  <c r="A29" i="133"/>
  <c r="A29" i="298" s="1"/>
  <c r="D29" i="133"/>
  <c r="A30" i="133"/>
  <c r="A30" i="298"/>
  <c r="C30" i="133"/>
  <c r="D30" i="133"/>
  <c r="E30" i="133"/>
  <c r="F30" i="133"/>
  <c r="G30" i="133"/>
  <c r="I30" i="133"/>
  <c r="O30" i="298" s="1"/>
  <c r="J30" i="133"/>
  <c r="K30" i="133"/>
  <c r="Q30" i="298"/>
  <c r="A31" i="133"/>
  <c r="A31" i="298"/>
  <c r="F31" i="133"/>
  <c r="I31" i="133"/>
  <c r="O31" i="298" s="1"/>
  <c r="J31" i="133"/>
  <c r="P31" i="298" s="1"/>
  <c r="A32" i="133"/>
  <c r="A32" i="298" s="1"/>
  <c r="A33" i="133"/>
  <c r="A33" i="298" s="1"/>
  <c r="H33" i="133"/>
  <c r="I33" i="133"/>
  <c r="O33" i="298"/>
  <c r="A34" i="133"/>
  <c r="A34" i="298"/>
  <c r="C34" i="133"/>
  <c r="D34" i="133"/>
  <c r="E34" i="133"/>
  <c r="F34" i="133"/>
  <c r="G34" i="133"/>
  <c r="H34" i="133"/>
  <c r="I34" i="133"/>
  <c r="O34" i="298"/>
  <c r="J34" i="133"/>
  <c r="P34" i="298"/>
  <c r="K34" i="133"/>
  <c r="Q34" i="298"/>
  <c r="A35" i="133"/>
  <c r="A35" i="298"/>
  <c r="A36" i="133"/>
  <c r="A36" i="298"/>
  <c r="C36" i="133"/>
  <c r="D36" i="133"/>
  <c r="E36" i="133"/>
  <c r="F36" i="133"/>
  <c r="G36" i="133"/>
  <c r="H36" i="133"/>
  <c r="I36" i="133"/>
  <c r="O36" i="298"/>
  <c r="J36" i="133"/>
  <c r="P36" i="298"/>
  <c r="K36" i="133"/>
  <c r="Q36" i="298"/>
  <c r="A37" i="133"/>
  <c r="A37" i="298"/>
  <c r="D37" i="133"/>
  <c r="J37" i="133"/>
  <c r="P37" i="298" s="1"/>
  <c r="A38" i="133"/>
  <c r="A38" i="298" s="1"/>
  <c r="A39" i="133"/>
  <c r="A39" i="298" s="1"/>
  <c r="C39" i="133"/>
  <c r="D39" i="133"/>
  <c r="F39" i="133"/>
  <c r="H39" i="133"/>
  <c r="J39" i="133"/>
  <c r="A40" i="133"/>
  <c r="A40" i="298"/>
  <c r="F40" i="133"/>
  <c r="A41" i="133"/>
  <c r="A41" i="298" s="1"/>
  <c r="F41" i="133"/>
  <c r="G41" i="133"/>
  <c r="K41" i="133"/>
  <c r="Q41" i="298" s="1"/>
  <c r="A42" i="133"/>
  <c r="A42" i="298" s="1"/>
  <c r="A43" i="133"/>
  <c r="A43" i="298" s="1"/>
  <c r="A44" i="133"/>
  <c r="A44" i="298" s="1"/>
  <c r="A45" i="133"/>
  <c r="A45" i="298" s="1"/>
  <c r="F45" i="133"/>
  <c r="J45" i="133"/>
  <c r="P45" i="298"/>
  <c r="A46" i="133"/>
  <c r="A46" i="298"/>
  <c r="A47" i="133"/>
  <c r="A47" i="298"/>
  <c r="J47" i="133"/>
  <c r="P47" i="298"/>
  <c r="A48" i="133"/>
  <c r="A48" i="298"/>
  <c r="A49" i="133"/>
  <c r="A50" i="133"/>
  <c r="A2" i="86"/>
  <c r="B3" i="86"/>
  <c r="C3" i="86"/>
  <c r="D3" i="86"/>
  <c r="E3" i="86"/>
  <c r="F3" i="86"/>
  <c r="G3" i="86"/>
  <c r="H3" i="86"/>
  <c r="B5" i="86"/>
  <c r="E5" i="86"/>
  <c r="F5" i="86"/>
  <c r="B7" i="86"/>
  <c r="C7" i="86"/>
  <c r="D7" i="86"/>
  <c r="E7" i="86"/>
  <c r="F7" i="86"/>
  <c r="G7" i="86"/>
  <c r="H7" i="86"/>
  <c r="I7" i="86"/>
  <c r="J7" i="86"/>
  <c r="K7" i="86"/>
  <c r="B8" i="86"/>
  <c r="C8" i="86"/>
  <c r="D8" i="86"/>
  <c r="E8" i="86"/>
  <c r="F8" i="86"/>
  <c r="G8" i="86"/>
  <c r="H8" i="86"/>
  <c r="I8" i="86"/>
  <c r="J8" i="86"/>
  <c r="K8" i="86"/>
  <c r="A10" i="86"/>
  <c r="B12" i="86"/>
  <c r="C12" i="86"/>
  <c r="D12" i="86"/>
  <c r="F100" i="123"/>
  <c r="E12" i="86"/>
  <c r="G100" i="123"/>
  <c r="F12" i="86"/>
  <c r="G12" i="86"/>
  <c r="H12" i="86"/>
  <c r="I12" i="86"/>
  <c r="K100" i="123" s="1"/>
  <c r="J12" i="86"/>
  <c r="K12" i="86"/>
  <c r="B14" i="86"/>
  <c r="C14" i="86"/>
  <c r="D14" i="86"/>
  <c r="E14" i="86"/>
  <c r="F14" i="86"/>
  <c r="G14" i="86"/>
  <c r="H14" i="86"/>
  <c r="I14" i="86"/>
  <c r="J14" i="86"/>
  <c r="K14" i="86"/>
  <c r="B15" i="86"/>
  <c r="C15" i="86"/>
  <c r="F15" i="86"/>
  <c r="J15" i="86"/>
  <c r="A18" i="86"/>
  <c r="A19" i="86"/>
  <c r="A20" i="86"/>
  <c r="B20" i="86"/>
  <c r="C20" i="86"/>
  <c r="D20" i="86"/>
  <c r="E20" i="86"/>
  <c r="F20" i="86"/>
  <c r="G20" i="86"/>
  <c r="H20" i="86"/>
  <c r="I20" i="86"/>
  <c r="J20" i="86"/>
  <c r="K20" i="86"/>
  <c r="A22" i="86"/>
  <c r="A23" i="86"/>
  <c r="B23" i="86"/>
  <c r="C23" i="86"/>
  <c r="D23" i="86"/>
  <c r="E23" i="86"/>
  <c r="F23" i="86"/>
  <c r="G23" i="86"/>
  <c r="H23" i="86"/>
  <c r="I23" i="86"/>
  <c r="J23" i="86"/>
  <c r="K23" i="86"/>
  <c r="A24" i="86"/>
  <c r="E28" i="86"/>
  <c r="F28" i="86"/>
  <c r="I28" i="86"/>
  <c r="A29" i="86"/>
  <c r="B29" i="86"/>
  <c r="C29" i="86"/>
  <c r="D29" i="86"/>
  <c r="E29" i="86"/>
  <c r="F29" i="86"/>
  <c r="G29" i="86"/>
  <c r="H29" i="86"/>
  <c r="I29" i="86"/>
  <c r="J29" i="86"/>
  <c r="K29" i="86"/>
  <c r="A30" i="86"/>
  <c r="B30" i="86"/>
  <c r="D106" i="123"/>
  <c r="C30" i="86"/>
  <c r="D30" i="86"/>
  <c r="F106" i="123" s="1"/>
  <c r="E30" i="86"/>
  <c r="G106" i="123" s="1"/>
  <c r="F30" i="86"/>
  <c r="H106" i="123" s="1"/>
  <c r="G30" i="86"/>
  <c r="H30" i="86"/>
  <c r="J106" i="123"/>
  <c r="I30" i="86"/>
  <c r="K106" i="123"/>
  <c r="J30" i="86"/>
  <c r="K30" i="86"/>
  <c r="M106" i="123" s="1"/>
  <c r="A31" i="86"/>
  <c r="B31" i="86"/>
  <c r="C31" i="86"/>
  <c r="D31" i="86"/>
  <c r="E31" i="86"/>
  <c r="F31" i="86"/>
  <c r="G31" i="86"/>
  <c r="H31" i="86"/>
  <c r="J105" i="123"/>
  <c r="I31" i="86"/>
  <c r="J31" i="86"/>
  <c r="K31" i="86"/>
  <c r="A35" i="86"/>
  <c r="A36" i="86"/>
  <c r="A37" i="86"/>
  <c r="A38" i="86"/>
  <c r="G39" i="86"/>
  <c r="B42" i="86"/>
  <c r="F42" i="86"/>
  <c r="G42" i="86"/>
  <c r="J42" i="86"/>
  <c r="K42" i="86"/>
  <c r="D43" i="86"/>
  <c r="E43" i="86"/>
  <c r="H43" i="86"/>
  <c r="I43" i="86"/>
  <c r="B44" i="86"/>
  <c r="C44" i="86"/>
  <c r="E44" i="86"/>
  <c r="F44" i="86"/>
  <c r="G44" i="86"/>
  <c r="J44" i="86"/>
  <c r="K44" i="86"/>
  <c r="A45" i="86"/>
  <c r="A41" i="301"/>
  <c r="A48" i="86"/>
  <c r="A49" i="86"/>
  <c r="C59" i="86"/>
  <c r="E59" i="86"/>
  <c r="F59" i="86"/>
  <c r="G59" i="86"/>
  <c r="J59" i="86"/>
  <c r="K59" i="86"/>
  <c r="C60" i="86"/>
  <c r="D60" i="86"/>
  <c r="E60" i="86"/>
  <c r="G60" i="86"/>
  <c r="H60" i="86"/>
  <c r="I60" i="86"/>
  <c r="J60" i="86"/>
  <c r="A62" i="86"/>
  <c r="D62" i="86"/>
  <c r="E62" i="86"/>
  <c r="G62" i="86"/>
  <c r="H62" i="86"/>
  <c r="I62" i="86"/>
  <c r="J62" i="86"/>
  <c r="K62" i="86"/>
  <c r="A63" i="86"/>
  <c r="D63" i="86"/>
  <c r="E63" i="86"/>
  <c r="H63" i="86"/>
  <c r="I63" i="86"/>
  <c r="J63" i="86"/>
  <c r="A64" i="86"/>
  <c r="B64" i="86"/>
  <c r="C64" i="86"/>
  <c r="E64" i="86"/>
  <c r="F64" i="86"/>
  <c r="H64" i="86"/>
  <c r="I64" i="86"/>
  <c r="J64" i="86"/>
  <c r="K64" i="86"/>
  <c r="A65" i="86"/>
  <c r="C65" i="86"/>
  <c r="D65" i="86"/>
  <c r="G65" i="86"/>
  <c r="H65" i="86"/>
  <c r="I65" i="86"/>
  <c r="J65" i="86"/>
  <c r="A2" i="347"/>
  <c r="A5" i="342" s="1"/>
  <c r="A173" i="342" s="1"/>
  <c r="A23" i="233" s="1"/>
  <c r="A3" i="347"/>
  <c r="A17" i="343" s="1"/>
  <c r="D3" i="347"/>
  <c r="A4" i="347"/>
  <c r="A27" i="342"/>
  <c r="A195" i="342" s="1"/>
  <c r="A25" i="233" s="1"/>
  <c r="D4" i="347"/>
  <c r="A5" i="347"/>
  <c r="D5" i="347"/>
  <c r="A6" i="347"/>
  <c r="D6" i="347"/>
  <c r="A7" i="347"/>
  <c r="D7" i="347"/>
  <c r="A8" i="347"/>
  <c r="D8" i="347"/>
  <c r="A9" i="347"/>
  <c r="A82" i="342"/>
  <c r="A250" i="342" s="1"/>
  <c r="A30" i="233" s="1"/>
  <c r="D9" i="347"/>
  <c r="A10" i="347"/>
  <c r="D10" i="347"/>
  <c r="A11" i="347"/>
  <c r="A105" i="343"/>
  <c r="D11" i="347"/>
  <c r="A12" i="347"/>
  <c r="A115" i="342"/>
  <c r="A15" i="233" s="1"/>
  <c r="D12" i="347"/>
  <c r="A13" i="347"/>
  <c r="A14" i="347"/>
  <c r="D14" i="347"/>
  <c r="A15" i="347"/>
  <c r="D15" i="347"/>
  <c r="A16" i="347"/>
  <c r="A159" i="342"/>
  <c r="A19" i="233" s="1"/>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s="1"/>
  <c r="A95" i="100"/>
  <c r="B141" i="100" s="1"/>
  <c r="E100" i="100"/>
  <c r="F100" i="100"/>
  <c r="E101" i="100"/>
  <c r="F101" i="100"/>
  <c r="E102" i="100"/>
  <c r="F102" i="100"/>
  <c r="E103" i="100"/>
  <c r="F103" i="100"/>
  <c r="A77" i="128" s="1"/>
  <c r="E104" i="100"/>
  <c r="F104" i="100"/>
  <c r="E105" i="100"/>
  <c r="F105" i="100"/>
  <c r="A78" i="128"/>
  <c r="E106" i="100"/>
  <c r="F106" i="100"/>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6" i="100"/>
  <c r="B127" i="100"/>
  <c r="B128" i="100"/>
  <c r="B129" i="100"/>
  <c r="B130" i="100"/>
  <c r="B131" i="100"/>
  <c r="B132" i="100"/>
  <c r="B133" i="100"/>
  <c r="B134" i="100"/>
  <c r="B135" i="100"/>
  <c r="B136" i="100"/>
  <c r="E137" i="100"/>
  <c r="F137" i="100"/>
  <c r="E138" i="100"/>
  <c r="F138" i="100"/>
  <c r="E139" i="100"/>
  <c r="F139" i="100"/>
  <c r="E140" i="100"/>
  <c r="F140" i="100"/>
  <c r="E141" i="100"/>
  <c r="F141" i="100"/>
  <c r="E142" i="100"/>
  <c r="F142" i="100"/>
  <c r="E143" i="100"/>
  <c r="B144" i="100"/>
  <c r="B145" i="100"/>
  <c r="E146" i="100"/>
  <c r="F146" i="100"/>
  <c r="E147" i="100"/>
  <c r="F147" i="100"/>
  <c r="E148" i="100"/>
  <c r="F148" i="100"/>
  <c r="E149" i="100"/>
  <c r="F149" i="100"/>
  <c r="E150" i="100"/>
  <c r="F150" i="100"/>
  <c r="E151" i="100"/>
  <c r="F151" i="100"/>
  <c r="E152" i="100"/>
  <c r="F152" i="100"/>
  <c r="B155" i="100"/>
  <c r="B156"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X34" i="354"/>
  <c r="B5" i="100"/>
  <c r="A3" i="335" s="1"/>
  <c r="F105" i="123"/>
  <c r="C121" i="351"/>
  <c r="G5" i="351"/>
  <c r="C5" i="351"/>
  <c r="L40" i="338"/>
  <c r="L38" i="338"/>
  <c r="P30" i="137"/>
  <c r="P8" i="137"/>
  <c r="F8" i="137" s="1"/>
  <c r="J46" i="123"/>
  <c r="F46" i="123"/>
  <c r="P5" i="137"/>
  <c r="F5" i="137" s="1"/>
  <c r="L45" i="123"/>
  <c r="Q149" i="343"/>
  <c r="A116" i="343"/>
  <c r="A16" i="126" s="1"/>
  <c r="A28" i="343"/>
  <c r="A197" i="343" s="1"/>
  <c r="A6" i="343"/>
  <c r="G11" i="88"/>
  <c r="J15" i="123"/>
  <c r="H15" i="123"/>
  <c r="G36" i="142"/>
  <c r="C36" i="142"/>
  <c r="K35" i="237"/>
  <c r="I35" i="237"/>
  <c r="C68" i="248"/>
  <c r="B54" i="86" s="1"/>
  <c r="L52" i="338"/>
  <c r="L49" i="338" s="1"/>
  <c r="I52" i="338"/>
  <c r="I49" i="338" s="1"/>
  <c r="G52" i="338"/>
  <c r="G49" i="338" s="1"/>
  <c r="E52" i="338"/>
  <c r="E49" i="338" s="1"/>
  <c r="A47" i="141"/>
  <c r="L106" i="123"/>
  <c r="K105" i="123"/>
  <c r="H107" i="123"/>
  <c r="I20" i="133"/>
  <c r="G20" i="133"/>
  <c r="K16" i="133"/>
  <c r="Q16" i="298" s="1"/>
  <c r="I10" i="133"/>
  <c r="O10" i="298" s="1"/>
  <c r="E10" i="133"/>
  <c r="C10" i="133"/>
  <c r="K5" i="233"/>
  <c r="Q5" i="299" s="1"/>
  <c r="E5" i="233"/>
  <c r="C5" i="233"/>
  <c r="O32" i="137"/>
  <c r="Q30" i="137"/>
  <c r="Q25" i="137"/>
  <c r="Q20" i="137"/>
  <c r="G20" i="137"/>
  <c r="E17" i="88"/>
  <c r="Q8" i="137"/>
  <c r="G8" i="137" s="1"/>
  <c r="Q7" i="137"/>
  <c r="G7" i="137" s="1"/>
  <c r="E46" i="123"/>
  <c r="L11" i="88"/>
  <c r="I15" i="123"/>
  <c r="E15" i="123"/>
  <c r="L35" i="237"/>
  <c r="H35" i="237"/>
  <c r="D35" i="237"/>
  <c r="F68" i="248"/>
  <c r="A33" i="248"/>
  <c r="A48" i="248" s="1"/>
  <c r="J52" i="338"/>
  <c r="J49" i="338" s="1"/>
  <c r="K52" i="338"/>
  <c r="K49" i="338" s="1"/>
  <c r="F52" i="338"/>
  <c r="F49" i="338" s="1"/>
  <c r="M14" i="123"/>
  <c r="N44" i="137"/>
  <c r="J32" i="337"/>
  <c r="J33" i="337" s="1"/>
  <c r="H104" i="146"/>
  <c r="F104" i="146"/>
  <c r="D104" i="146"/>
  <c r="J100" i="146"/>
  <c r="H100" i="146"/>
  <c r="F100" i="146"/>
  <c r="F102" i="146"/>
  <c r="D100" i="146"/>
  <c r="H48" i="146"/>
  <c r="F48" i="146"/>
  <c r="D48" i="146"/>
  <c r="N43" i="137"/>
  <c r="J6" i="349"/>
  <c r="H6" i="349"/>
  <c r="F6" i="349"/>
  <c r="F77" i="349"/>
  <c r="D6" i="349"/>
  <c r="D77" i="349"/>
  <c r="D85" i="349" s="1"/>
  <c r="I74" i="338"/>
  <c r="I70" i="338" s="1"/>
  <c r="D23" i="139"/>
  <c r="K6" i="358"/>
  <c r="I6" i="358"/>
  <c r="I77" i="358" s="1"/>
  <c r="I97" i="358" s="1"/>
  <c r="G6" i="358"/>
  <c r="E6" i="358"/>
  <c r="E77" i="358" s="1"/>
  <c r="E97" i="358" s="1"/>
  <c r="C6" i="358"/>
  <c r="C77" i="358"/>
  <c r="O5" i="299"/>
  <c r="B21" i="100"/>
  <c r="B107" i="100"/>
  <c r="A160" i="343"/>
  <c r="A126" i="342"/>
  <c r="A127" i="343"/>
  <c r="A296" i="343" s="1"/>
  <c r="A137" i="342"/>
  <c r="A17" i="233" s="1"/>
  <c r="A138" i="343"/>
  <c r="A18" i="126" s="1"/>
  <c r="A104" i="342"/>
  <c r="A14" i="233" s="1"/>
  <c r="A60" i="342"/>
  <c r="A10" i="233" s="1"/>
  <c r="A61" i="343"/>
  <c r="A230" i="343" s="1"/>
  <c r="A16" i="342"/>
  <c r="A184" i="342" s="1"/>
  <c r="A24" i="233" s="1"/>
  <c r="I106" i="351"/>
  <c r="K6" i="233"/>
  <c r="Q6" i="299" s="1"/>
  <c r="C6" i="233"/>
  <c r="K150" i="343"/>
  <c r="K140" i="343"/>
  <c r="K118" i="343"/>
  <c r="K96" i="343"/>
  <c r="K90" i="343"/>
  <c r="J47" i="248"/>
  <c r="K128" i="343"/>
  <c r="K106" i="343"/>
  <c r="K105" i="343" s="1"/>
  <c r="K15" i="126" s="1"/>
  <c r="P14" i="140" s="1"/>
  <c r="K38" i="248"/>
  <c r="H48" i="248"/>
  <c r="I56" i="338"/>
  <c r="I54" i="338" s="1"/>
  <c r="I53" i="338" s="1"/>
  <c r="D48" i="337"/>
  <c r="I15" i="337"/>
  <c r="J17" i="337"/>
  <c r="J18" i="337"/>
  <c r="I67" i="144"/>
  <c r="J12" i="237"/>
  <c r="E67" i="144"/>
  <c r="E12" i="237"/>
  <c r="E53" i="136"/>
  <c r="G31" i="136"/>
  <c r="F50" i="249"/>
  <c r="H27" i="249"/>
  <c r="E27" i="249"/>
  <c r="K27" i="249"/>
  <c r="G27" i="249"/>
  <c r="C27" i="249"/>
  <c r="I27" i="249"/>
  <c r="D27" i="249"/>
  <c r="M25" i="298"/>
  <c r="M26" i="298"/>
  <c r="E104" i="146"/>
  <c r="K100" i="146"/>
  <c r="G100" i="146"/>
  <c r="C100" i="146"/>
  <c r="H98" i="146"/>
  <c r="K82" i="146"/>
  <c r="G82" i="146"/>
  <c r="H66" i="146"/>
  <c r="J46" i="146"/>
  <c r="F46" i="146"/>
  <c r="I30" i="146"/>
  <c r="E30" i="146"/>
  <c r="K14" i="146"/>
  <c r="G14" i="146"/>
  <c r="M48" i="298"/>
  <c r="O36" i="139"/>
  <c r="F23" i="139"/>
  <c r="A12" i="233"/>
  <c r="J2" i="246" s="1"/>
  <c r="A327" i="342"/>
  <c r="A37" i="233" s="1"/>
  <c r="D35" i="338"/>
  <c r="D34" i="338" s="1"/>
  <c r="C25" i="127"/>
  <c r="A305" i="342"/>
  <c r="A35" i="233" s="1"/>
  <c r="B22" i="100"/>
  <c r="X36" i="354"/>
  <c r="B16" i="100"/>
  <c r="B25" i="100"/>
  <c r="B2" i="100"/>
  <c r="U127" i="343"/>
  <c r="U94" i="343"/>
  <c r="J63" i="126"/>
  <c r="I27" i="86"/>
  <c r="K112" i="123" s="1"/>
  <c r="U28" i="343"/>
  <c r="K29" i="343"/>
  <c r="K28" i="343"/>
  <c r="U6" i="343"/>
  <c r="F48" i="337"/>
  <c r="G48" i="337"/>
  <c r="D33" i="337"/>
  <c r="H31" i="136"/>
  <c r="M25" i="300"/>
  <c r="A19" i="316"/>
  <c r="G104" i="146"/>
  <c r="J98" i="146"/>
  <c r="O21" i="139"/>
  <c r="O15" i="139"/>
  <c r="K77" i="358"/>
  <c r="H34" i="144"/>
  <c r="H71" i="144"/>
  <c r="D34" i="144"/>
  <c r="C32" i="142"/>
  <c r="K15" i="123"/>
  <c r="J36" i="142"/>
  <c r="D39" i="248"/>
  <c r="K36" i="248"/>
  <c r="G36" i="248"/>
  <c r="M55" i="123"/>
  <c r="J84" i="123" s="1"/>
  <c r="L12" i="129"/>
  <c r="L48" i="337"/>
  <c r="L18" i="337"/>
  <c r="J55" i="123"/>
  <c r="G84" i="123"/>
  <c r="D36" i="142"/>
  <c r="I32" i="142"/>
  <c r="P22" i="298"/>
  <c r="J19" i="133"/>
  <c r="P19" i="298" s="1"/>
  <c r="B28" i="100"/>
  <c r="B19" i="100"/>
  <c r="N3" i="127" s="1"/>
  <c r="B17" i="100"/>
  <c r="B7" i="100"/>
  <c r="I2" i="86"/>
  <c r="B6" i="100"/>
  <c r="B37" i="100"/>
  <c r="B29" i="100"/>
  <c r="W3" i="233" s="1"/>
  <c r="B27" i="100"/>
  <c r="A71" i="336"/>
  <c r="B148" i="100"/>
  <c r="B142" i="100"/>
  <c r="I25" i="127"/>
  <c r="C74" i="126"/>
  <c r="B28" i="86"/>
  <c r="D107" i="123"/>
  <c r="J94" i="253"/>
  <c r="A34" i="315"/>
  <c r="B24" i="100"/>
  <c r="R3" i="342"/>
  <c r="B23" i="100"/>
  <c r="B18" i="100"/>
  <c r="L3" i="233" s="1"/>
  <c r="B4" i="100"/>
  <c r="B3" i="100"/>
  <c r="D2" i="134"/>
  <c r="F2" i="255"/>
  <c r="B26" i="100"/>
  <c r="T3" i="233" s="1"/>
  <c r="B20" i="100"/>
  <c r="B15" i="100"/>
  <c r="H3" i="361"/>
  <c r="D100" i="349"/>
  <c r="C102" i="146"/>
  <c r="B36" i="100"/>
  <c r="K17" i="343"/>
  <c r="K7" i="126" s="1"/>
  <c r="D6" i="294"/>
  <c r="R340" i="342"/>
  <c r="E25" i="127"/>
  <c r="U38" i="127"/>
  <c r="J138" i="343"/>
  <c r="J18" i="126" s="1"/>
  <c r="K138" i="343"/>
  <c r="K18" i="126" s="1"/>
  <c r="D17" i="294"/>
  <c r="K83" i="343"/>
  <c r="K13" i="126"/>
  <c r="C36" i="131"/>
  <c r="D67" i="338"/>
  <c r="I235" i="235"/>
  <c r="E235" i="235"/>
  <c r="K226" i="235"/>
  <c r="F199" i="235"/>
  <c r="M153" i="235"/>
  <c r="D74" i="351"/>
  <c r="E74" i="351"/>
  <c r="K127" i="343"/>
  <c r="K17" i="126" s="1"/>
  <c r="Q39" i="343"/>
  <c r="W171" i="343"/>
  <c r="K35" i="338"/>
  <c r="K34" i="338" s="1"/>
  <c r="J25" i="127"/>
  <c r="I11" i="86" s="1"/>
  <c r="K99" i="123" s="1"/>
  <c r="C67" i="144"/>
  <c r="C12" i="237"/>
  <c r="I34" i="144"/>
  <c r="I71" i="144"/>
  <c r="E34" i="144"/>
  <c r="L39" i="343"/>
  <c r="L9" i="126" s="1"/>
  <c r="E8" i="294"/>
  <c r="F34" i="129"/>
  <c r="J48" i="248"/>
  <c r="L56" i="338" s="1"/>
  <c r="L54" i="338" s="1"/>
  <c r="L53" i="338" s="1"/>
  <c r="I39" i="248"/>
  <c r="K37" i="248"/>
  <c r="P63" i="95"/>
  <c r="P52" i="95"/>
  <c r="H46" i="253"/>
  <c r="D46" i="253"/>
  <c r="D36" i="253"/>
  <c r="J15" i="253"/>
  <c r="J92" i="253" s="1"/>
  <c r="F15" i="253"/>
  <c r="F235" i="235"/>
  <c r="F214" i="235"/>
  <c r="G134" i="235"/>
  <c r="F88" i="235"/>
  <c r="I31" i="136"/>
  <c r="I54" i="136"/>
  <c r="D46" i="146"/>
  <c r="K30" i="146"/>
  <c r="C48" i="146"/>
  <c r="D14" i="146"/>
  <c r="F63" i="95"/>
  <c r="F79" i="248"/>
  <c r="K53" i="316"/>
  <c r="G53" i="316"/>
  <c r="C53" i="316"/>
  <c r="D49" i="316"/>
  <c r="D60" i="316" s="1"/>
  <c r="I53" i="316"/>
  <c r="E98" i="146"/>
  <c r="I104" i="146"/>
  <c r="E46" i="146"/>
  <c r="D30" i="146"/>
  <c r="I48" i="146"/>
  <c r="I49" i="146"/>
  <c r="E44" i="139"/>
  <c r="L44" i="139"/>
  <c r="N23" i="139"/>
  <c r="J79" i="248"/>
  <c r="F54" i="294"/>
  <c r="I77" i="348"/>
  <c r="E34" i="129"/>
  <c r="E46" i="253"/>
  <c r="G36" i="253"/>
  <c r="C36" i="253"/>
  <c r="K15" i="253"/>
  <c r="H235" i="235"/>
  <c r="J226" i="235"/>
  <c r="K214" i="235"/>
  <c r="E199" i="235"/>
  <c r="K153" i="235"/>
  <c r="K134" i="235"/>
  <c r="H134" i="235"/>
  <c r="M134" i="235"/>
  <c r="E134" i="235"/>
  <c r="J122" i="235"/>
  <c r="F122" i="235"/>
  <c r="K122" i="235"/>
  <c r="E88" i="235"/>
  <c r="D32" i="142"/>
  <c r="J32" i="142"/>
  <c r="L30" i="143"/>
  <c r="K34" i="144"/>
  <c r="G34" i="144"/>
  <c r="G71" i="144" s="1"/>
  <c r="F53" i="316"/>
  <c r="F98" i="146"/>
  <c r="F82" i="146"/>
  <c r="J104" i="146"/>
  <c r="J14" i="146"/>
  <c r="G57" i="145"/>
  <c r="K20" i="301"/>
  <c r="C20" i="301"/>
  <c r="M44" i="139"/>
  <c r="G23" i="139"/>
  <c r="C23" i="139"/>
  <c r="K8" i="126"/>
  <c r="D7" i="294"/>
  <c r="J26" i="140"/>
  <c r="F26" i="140"/>
  <c r="M26" i="140"/>
  <c r="I26" i="140"/>
  <c r="E26" i="140"/>
  <c r="J24" i="140"/>
  <c r="F24" i="140"/>
  <c r="M24" i="140"/>
  <c r="I24" i="140"/>
  <c r="E24" i="140"/>
  <c r="J25" i="140"/>
  <c r="F25" i="140"/>
  <c r="M25" i="140"/>
  <c r="I25" i="140"/>
  <c r="E25" i="140"/>
  <c r="A6" i="233"/>
  <c r="A6" i="299"/>
  <c r="A24" i="299" s="1"/>
  <c r="I26" i="248"/>
  <c r="I20" i="248" s="1"/>
  <c r="K58" i="123" s="1"/>
  <c r="J6" i="350"/>
  <c r="J77" i="350"/>
  <c r="J50" i="249"/>
  <c r="F27" i="249"/>
  <c r="F52" i="249" s="1"/>
  <c r="I50" i="249"/>
  <c r="F53" i="136"/>
  <c r="C31" i="136"/>
  <c r="C53" i="136"/>
  <c r="J31" i="136"/>
  <c r="A1" i="141"/>
  <c r="A1" i="335"/>
  <c r="A1" i="136"/>
  <c r="J11" i="88"/>
  <c r="O9" i="137"/>
  <c r="H18" i="88"/>
  <c r="O3" i="233"/>
  <c r="F2" i="131"/>
  <c r="A1" i="355"/>
  <c r="V3" i="342"/>
  <c r="G21" i="86"/>
  <c r="D21" i="86"/>
  <c r="F40" i="338"/>
  <c r="D40" i="338"/>
  <c r="H38" i="338"/>
  <c r="D15" i="86"/>
  <c r="Q28" i="137"/>
  <c r="E13" i="86"/>
  <c r="G11" i="86"/>
  <c r="J9" i="86"/>
  <c r="K46" i="123"/>
  <c r="G46" i="123"/>
  <c r="J45" i="123"/>
  <c r="D39" i="86"/>
  <c r="I39" i="86"/>
  <c r="F39" i="86"/>
  <c r="K36" i="86"/>
  <c r="E36" i="86"/>
  <c r="C36" i="86"/>
  <c r="E38" i="338"/>
  <c r="E2" i="147"/>
  <c r="K3" i="129"/>
  <c r="T3" i="342"/>
  <c r="T3" i="127"/>
  <c r="N3" i="233"/>
  <c r="P3" i="342"/>
  <c r="B11" i="86"/>
  <c r="V3" i="127"/>
  <c r="E54" i="86"/>
  <c r="Q40" i="137"/>
  <c r="H21" i="86"/>
  <c r="E21" i="86"/>
  <c r="C21" i="86"/>
  <c r="G40" i="338"/>
  <c r="E40" i="338"/>
  <c r="E37" i="338"/>
  <c r="G38" i="338"/>
  <c r="D38" i="338"/>
  <c r="D37" i="338" s="1"/>
  <c r="D58" i="338" s="1"/>
  <c r="D80" i="338" s="1"/>
  <c r="I68" i="248"/>
  <c r="D13" i="86"/>
  <c r="K11" i="86"/>
  <c r="H11" i="86"/>
  <c r="J97" i="123"/>
  <c r="D11" i="86"/>
  <c r="E9" i="86"/>
  <c r="B9" i="86"/>
  <c r="J5" i="86"/>
  <c r="D5" i="86"/>
  <c r="D45" i="123"/>
  <c r="E37" i="123" s="1"/>
  <c r="J39" i="86"/>
  <c r="B39" i="86"/>
  <c r="F38" i="86"/>
  <c r="D37" i="86"/>
  <c r="H36" i="86"/>
  <c r="F36" i="86"/>
  <c r="D36" i="86"/>
  <c r="B36" i="86"/>
  <c r="A54" i="86"/>
  <c r="K40" i="338"/>
  <c r="J21" i="86"/>
  <c r="F21" i="86"/>
  <c r="B21" i="86"/>
  <c r="I5" i="86"/>
  <c r="G45" i="123"/>
  <c r="K39" i="86"/>
  <c r="C39" i="86"/>
  <c r="H20" i="127"/>
  <c r="I17" i="88"/>
  <c r="G105" i="123"/>
  <c r="A1" i="360"/>
  <c r="A1" i="144"/>
  <c r="A77" i="147"/>
  <c r="A1" i="315"/>
  <c r="A1" i="337"/>
  <c r="A1" i="145"/>
  <c r="A1" i="255"/>
  <c r="F2" i="305"/>
  <c r="E2" i="248"/>
  <c r="A283" i="342"/>
  <c r="A33" i="233"/>
  <c r="C54" i="95"/>
  <c r="J3" i="133"/>
  <c r="V3" i="343"/>
  <c r="P3" i="298"/>
  <c r="E2" i="336"/>
  <c r="I3" i="342"/>
  <c r="A8" i="126"/>
  <c r="D5" i="133"/>
  <c r="P3" i="233"/>
  <c r="K31" i="136"/>
  <c r="K48" i="146"/>
  <c r="K102" i="146"/>
  <c r="K3" i="337"/>
  <c r="E2" i="349"/>
  <c r="E2" i="249"/>
  <c r="I3" i="358"/>
  <c r="F74" i="338"/>
  <c r="F26" i="338"/>
  <c r="F23" i="338" s="1"/>
  <c r="D2" i="139"/>
  <c r="C2" i="299"/>
  <c r="I2" i="148"/>
  <c r="I26" i="338"/>
  <c r="I23" i="338"/>
  <c r="W3" i="127"/>
  <c r="A11" i="126"/>
  <c r="A10" i="140" s="1"/>
  <c r="A285" i="343"/>
  <c r="A1" i="349"/>
  <c r="D39" i="129"/>
  <c r="H11" i="88"/>
  <c r="C47" i="248"/>
  <c r="D44" i="248"/>
  <c r="F42" i="248"/>
  <c r="E44" i="248"/>
  <c r="F43" i="248"/>
  <c r="C37" i="248"/>
  <c r="D71" i="144"/>
  <c r="E74" i="338"/>
  <c r="G38" i="123"/>
  <c r="H44" i="248"/>
  <c r="E17" i="86"/>
  <c r="F36" i="142"/>
  <c r="D45" i="248"/>
  <c r="L45" i="131"/>
  <c r="L48" i="131"/>
  <c r="L39" i="129"/>
  <c r="K71" i="144"/>
  <c r="J74" i="351"/>
  <c r="G10" i="133"/>
  <c r="G74" i="351"/>
  <c r="O20" i="137"/>
  <c r="L20" i="137"/>
  <c r="I9" i="86"/>
  <c r="K47" i="123"/>
  <c r="O5" i="137"/>
  <c r="M5" i="137"/>
  <c r="K45" i="123"/>
  <c r="K37" i="123"/>
  <c r="K92" i="123"/>
  <c r="F100" i="349"/>
  <c r="F85" i="349"/>
  <c r="F162" i="255"/>
  <c r="R3" i="127"/>
  <c r="M2" i="139"/>
  <c r="Q3" i="233"/>
  <c r="Q3" i="342"/>
  <c r="L3" i="342"/>
  <c r="F3" i="294"/>
  <c r="D2" i="350"/>
  <c r="D2" i="144"/>
  <c r="D2" i="129"/>
  <c r="G3" i="294"/>
  <c r="M3" i="314"/>
  <c r="M3" i="296"/>
  <c r="K3" i="301"/>
  <c r="K3" i="134"/>
  <c r="L3" i="131"/>
  <c r="K3" i="349"/>
  <c r="K3" i="142"/>
  <c r="L3" i="88"/>
  <c r="K3" i="144"/>
  <c r="K3" i="358"/>
  <c r="L3" i="343"/>
  <c r="K3" i="316"/>
  <c r="L3" i="305"/>
  <c r="K3" i="147"/>
  <c r="M3" i="123"/>
  <c r="M3" i="141"/>
  <c r="Q3" i="140"/>
  <c r="K3" i="253"/>
  <c r="J3" i="361"/>
  <c r="L3" i="128"/>
  <c r="M64" i="235"/>
  <c r="Q3" i="137"/>
  <c r="K3" i="249"/>
  <c r="K3" i="136"/>
  <c r="K3" i="336"/>
  <c r="L3" i="337"/>
  <c r="K3" i="146"/>
  <c r="P3" i="95"/>
  <c r="J3" i="362"/>
  <c r="M4" i="338"/>
  <c r="M110" i="235"/>
  <c r="K3" i="233"/>
  <c r="L3" i="237"/>
  <c r="E3" i="294"/>
  <c r="K3" i="350"/>
  <c r="X3" i="343"/>
  <c r="L3" i="126"/>
  <c r="Q3" i="300"/>
  <c r="G3" i="139"/>
  <c r="O3" i="256"/>
  <c r="K3" i="133"/>
  <c r="K3" i="248"/>
  <c r="L3" i="127"/>
  <c r="M202" i="235"/>
  <c r="Q3" i="298"/>
  <c r="Q3" i="299"/>
  <c r="M156" i="235"/>
  <c r="K79" i="147"/>
  <c r="I2" i="147"/>
  <c r="K2" i="123"/>
  <c r="I2" i="301"/>
  <c r="I78" i="147"/>
  <c r="I2" i="249"/>
  <c r="K109" i="235"/>
  <c r="K2" i="296"/>
  <c r="I2" i="146"/>
  <c r="J2" i="255"/>
  <c r="I2" i="253"/>
  <c r="K2" i="315"/>
  <c r="J2" i="126"/>
  <c r="K63" i="235"/>
  <c r="K2" i="235"/>
  <c r="B50" i="100"/>
  <c r="D3" i="338"/>
  <c r="B2" i="86"/>
  <c r="C2" i="129"/>
  <c r="C2" i="133"/>
  <c r="D2" i="361"/>
  <c r="G2" i="235"/>
  <c r="E63" i="235"/>
  <c r="P12" i="298"/>
  <c r="J9" i="133"/>
  <c r="P9" i="298" s="1"/>
  <c r="P17" i="140"/>
  <c r="K39" i="343"/>
  <c r="J42" i="133"/>
  <c r="P42" i="298" s="1"/>
  <c r="P46" i="298"/>
  <c r="D39" i="126"/>
  <c r="K50" i="343"/>
  <c r="K10" i="126" s="1"/>
  <c r="A71" i="342"/>
  <c r="A72" i="343"/>
  <c r="A12" i="126" s="1"/>
  <c r="A41" i="316"/>
  <c r="A46" i="316"/>
  <c r="E170" i="342"/>
  <c r="A7" i="233"/>
  <c r="E2" i="246"/>
  <c r="A5" i="233"/>
  <c r="K121" i="351"/>
  <c r="K60" i="86"/>
  <c r="I59" i="86"/>
  <c r="K6" i="86"/>
  <c r="C38" i="133"/>
  <c r="P39" i="298"/>
  <c r="J38" i="133"/>
  <c r="P38" i="298" s="1"/>
  <c r="C37" i="351"/>
  <c r="O40" i="137"/>
  <c r="N40" i="137"/>
  <c r="I21" i="86"/>
  <c r="H40" i="338"/>
  <c r="F17" i="86"/>
  <c r="D74" i="126"/>
  <c r="C28" i="86"/>
  <c r="E107" i="123"/>
  <c r="Q138" i="343"/>
  <c r="J128" i="343"/>
  <c r="J127" i="343" s="1"/>
  <c r="J17" i="126" s="1"/>
  <c r="Q127" i="343"/>
  <c r="A2" i="338"/>
  <c r="B4" i="355"/>
  <c r="A1" i="361"/>
  <c r="A1" i="362"/>
  <c r="I2" i="296"/>
  <c r="L3" i="315"/>
  <c r="K3" i="305"/>
  <c r="E2" i="343"/>
  <c r="J3" i="127"/>
  <c r="E3" i="139"/>
  <c r="I100" i="146"/>
  <c r="I102" i="146" s="1"/>
  <c r="A307" i="343"/>
  <c r="A17" i="126"/>
  <c r="A16" i="294" s="1"/>
  <c r="A35" i="294" s="1"/>
  <c r="A1" i="237"/>
  <c r="M49" i="123"/>
  <c r="A1" i="250"/>
  <c r="A1" i="128"/>
  <c r="A1" i="235"/>
  <c r="A1" i="316"/>
  <c r="A1" i="146"/>
  <c r="A1" i="148"/>
  <c r="A1" i="142"/>
  <c r="A1" i="249"/>
  <c r="F2" i="237"/>
  <c r="L2" i="139"/>
  <c r="J3" i="253"/>
  <c r="P3" i="300"/>
  <c r="C2" i="298"/>
  <c r="O3" i="299"/>
  <c r="I79" i="147"/>
  <c r="O23" i="139"/>
  <c r="U105" i="343"/>
  <c r="K2" i="139"/>
  <c r="P3" i="127"/>
  <c r="D162" i="255"/>
  <c r="A228" i="342"/>
  <c r="A28" i="233"/>
  <c r="K149" i="343"/>
  <c r="K19" i="126"/>
  <c r="D18" i="294" s="1"/>
  <c r="L74" i="126"/>
  <c r="H102" i="146"/>
  <c r="H52" i="338"/>
  <c r="H49" i="338" s="1"/>
  <c r="Q94" i="343"/>
  <c r="A1" i="139"/>
  <c r="G31" i="133"/>
  <c r="D84" i="351"/>
  <c r="D33" i="133"/>
  <c r="E29" i="133"/>
  <c r="E28" i="133" s="1"/>
  <c r="I6" i="133"/>
  <c r="O6" i="298" s="1"/>
  <c r="I5" i="351"/>
  <c r="C97" i="358"/>
  <c r="B13" i="86"/>
  <c r="V38" i="127"/>
  <c r="N38" i="127"/>
  <c r="J46" i="343"/>
  <c r="J39" i="343"/>
  <c r="J9" i="126" s="1"/>
  <c r="D126" i="123"/>
  <c r="B59" i="86"/>
  <c r="K36" i="253"/>
  <c r="K27" i="253"/>
  <c r="K63" i="86"/>
  <c r="G27" i="253"/>
  <c r="F63" i="86"/>
  <c r="C27" i="253"/>
  <c r="B63" i="86"/>
  <c r="G15" i="253"/>
  <c r="G92" i="253"/>
  <c r="F62" i="86"/>
  <c r="M38" i="338"/>
  <c r="K15" i="86"/>
  <c r="A93" i="342"/>
  <c r="A94" i="343"/>
  <c r="A14" i="126"/>
  <c r="J38" i="338"/>
  <c r="H15" i="86"/>
  <c r="F13" i="86"/>
  <c r="G68" i="248"/>
  <c r="M76" i="338"/>
  <c r="E74" i="126"/>
  <c r="C63" i="126"/>
  <c r="B27" i="86" s="1"/>
  <c r="D112" i="123" s="1"/>
  <c r="J21" i="343"/>
  <c r="J17" i="343"/>
  <c r="J7" i="126" s="1"/>
  <c r="Q17" i="343"/>
  <c r="J82" i="146"/>
  <c r="I82" i="146"/>
  <c r="N3" i="342"/>
  <c r="Q3" i="127"/>
  <c r="U50" i="343"/>
  <c r="D52" i="338"/>
  <c r="D49" i="338" s="1"/>
  <c r="K54" i="123"/>
  <c r="K10" i="123" s="1"/>
  <c r="D28" i="86"/>
  <c r="F107" i="123"/>
  <c r="L48" i="123"/>
  <c r="L40" i="123"/>
  <c r="P9" i="137"/>
  <c r="F9" i="137"/>
  <c r="H74" i="126"/>
  <c r="G28" i="86"/>
  <c r="I107" i="123" s="1"/>
  <c r="G42" i="248"/>
  <c r="J38" i="248"/>
  <c r="A48" i="316"/>
  <c r="A43" i="316"/>
  <c r="A1" i="88"/>
  <c r="A1" i="336"/>
  <c r="J3" i="88"/>
  <c r="K170" i="342"/>
  <c r="O3" i="342"/>
  <c r="J77" i="349"/>
  <c r="J100" i="349"/>
  <c r="K5" i="351"/>
  <c r="H59" i="86"/>
  <c r="D59" i="86"/>
  <c r="H28" i="86"/>
  <c r="J107" i="123" s="1"/>
  <c r="C6" i="86"/>
  <c r="J106" i="351"/>
  <c r="C74" i="351"/>
  <c r="C29" i="133"/>
  <c r="J6" i="133"/>
  <c r="P6" i="298" s="1"/>
  <c r="J5" i="351"/>
  <c r="P32" i="137"/>
  <c r="K160" i="343"/>
  <c r="K20" i="126" s="1"/>
  <c r="Q6" i="343"/>
  <c r="J7" i="343"/>
  <c r="C39" i="129"/>
  <c r="C11" i="88"/>
  <c r="D27" i="253"/>
  <c r="D93" i="253"/>
  <c r="C63" i="86"/>
  <c r="E35" i="338"/>
  <c r="E34" i="338" s="1"/>
  <c r="D25" i="127"/>
  <c r="I54" i="123"/>
  <c r="I10" i="123"/>
  <c r="E18" i="88"/>
  <c r="K49" i="123"/>
  <c r="K43" i="123"/>
  <c r="K11" i="123" s="1"/>
  <c r="K103" i="123" s="1"/>
  <c r="O10" i="137"/>
  <c r="K10" i="137"/>
  <c r="G12" i="129"/>
  <c r="G25" i="129"/>
  <c r="G42" i="129" s="1"/>
  <c r="G55" i="129" s="1"/>
  <c r="G35" i="237"/>
  <c r="I36" i="142"/>
  <c r="B101" i="100"/>
  <c r="A1" i="133" s="1"/>
  <c r="J84" i="351"/>
  <c r="F84" i="351"/>
  <c r="E84" i="351"/>
  <c r="F74" i="351"/>
  <c r="D52" i="351"/>
  <c r="D37" i="351"/>
  <c r="V340" i="342"/>
  <c r="L340" i="342"/>
  <c r="K72" i="343"/>
  <c r="K12" i="126" s="1"/>
  <c r="K61" i="343"/>
  <c r="K11" i="126"/>
  <c r="P10" i="140" s="1"/>
  <c r="K235" i="235"/>
  <c r="E76" i="235"/>
  <c r="M105" i="123"/>
  <c r="I105" i="123"/>
  <c r="E105" i="123"/>
  <c r="U340" i="342"/>
  <c r="G37" i="338"/>
  <c r="G58" i="338" s="1"/>
  <c r="G80" i="338" s="1"/>
  <c r="Q38" i="127"/>
  <c r="J54" i="123"/>
  <c r="J10" i="123" s="1"/>
  <c r="N19" i="300"/>
  <c r="F12" i="129"/>
  <c r="F13" i="88" s="1"/>
  <c r="E39" i="248"/>
  <c r="D94" i="253"/>
  <c r="E153" i="235"/>
  <c r="D18" i="337"/>
  <c r="K94" i="343"/>
  <c r="K14" i="126" s="1"/>
  <c r="L50" i="343"/>
  <c r="L10" i="126"/>
  <c r="Q9" i="140" s="1"/>
  <c r="H39" i="129"/>
  <c r="F39" i="129"/>
  <c r="H45" i="131"/>
  <c r="D45" i="131"/>
  <c r="F45" i="131"/>
  <c r="E43" i="248"/>
  <c r="J39" i="248"/>
  <c r="E36" i="248"/>
  <c r="F36" i="253"/>
  <c r="I15" i="253"/>
  <c r="E15" i="253"/>
  <c r="F226" i="235"/>
  <c r="K107" i="235"/>
  <c r="G107" i="235"/>
  <c r="E94" i="253"/>
  <c r="M88" i="235"/>
  <c r="I88" i="235"/>
  <c r="G88" i="235"/>
  <c r="M76" i="235"/>
  <c r="E50" i="249"/>
  <c r="E52" i="249"/>
  <c r="I11" i="145"/>
  <c r="K116" i="343"/>
  <c r="K16" i="126" s="1"/>
  <c r="H34" i="129"/>
  <c r="J12" i="129"/>
  <c r="I48" i="248"/>
  <c r="F36" i="248"/>
  <c r="F92" i="253"/>
  <c r="G199" i="235"/>
  <c r="M199" i="235"/>
  <c r="K189" i="235"/>
  <c r="G189" i="235"/>
  <c r="M180" i="235"/>
  <c r="I180" i="235"/>
  <c r="G180" i="235"/>
  <c r="E168" i="235"/>
  <c r="M143" i="235"/>
  <c r="I143" i="235"/>
  <c r="M107" i="235"/>
  <c r="M97" i="235"/>
  <c r="I97" i="235"/>
  <c r="G94" i="253" s="1"/>
  <c r="J76" i="235"/>
  <c r="H48" i="337"/>
  <c r="F32" i="142"/>
  <c r="G50" i="249"/>
  <c r="G52" i="249" s="1"/>
  <c r="L34" i="305"/>
  <c r="L87" i="255" s="1"/>
  <c r="L89" i="255" s="1"/>
  <c r="L33" i="127" s="1"/>
  <c r="H34" i="305"/>
  <c r="D34" i="305"/>
  <c r="D87" i="255"/>
  <c r="C104" i="146"/>
  <c r="D66" i="146"/>
  <c r="G30" i="146"/>
  <c r="D57" i="145"/>
  <c r="E57" i="145"/>
  <c r="K23" i="139"/>
  <c r="E6" i="350"/>
  <c r="E77" i="350"/>
  <c r="I6" i="349"/>
  <c r="I77" i="349"/>
  <c r="L17" i="338"/>
  <c r="H17" i="338"/>
  <c r="J53" i="316"/>
  <c r="E49" i="316"/>
  <c r="E60" i="316" s="1"/>
  <c r="A42" i="316"/>
  <c r="K49" i="316"/>
  <c r="K60" i="316"/>
  <c r="G49" i="316"/>
  <c r="G60" i="316"/>
  <c r="C49" i="316"/>
  <c r="C60" i="316"/>
  <c r="H53" i="316"/>
  <c r="E25" i="316"/>
  <c r="C65" i="305"/>
  <c r="C88" i="255"/>
  <c r="F65" i="305"/>
  <c r="F88" i="255"/>
  <c r="I65" i="305"/>
  <c r="I88" i="255"/>
  <c r="H65" i="305"/>
  <c r="H88" i="255"/>
  <c r="G98" i="146"/>
  <c r="F37" i="148"/>
  <c r="N52" i="95"/>
  <c r="N54" i="95"/>
  <c r="E52" i="95"/>
  <c r="E54" i="95"/>
  <c r="E64" i="95" s="1"/>
  <c r="J44" i="139"/>
  <c r="J23" i="139"/>
  <c r="C45" i="248"/>
  <c r="J6" i="134"/>
  <c r="J77" i="134" s="1"/>
  <c r="G54" i="294"/>
  <c r="D15" i="253"/>
  <c r="D38" i="246"/>
  <c r="D42" i="246" s="1"/>
  <c r="L235" i="235"/>
  <c r="G226" i="235"/>
  <c r="J214" i="235"/>
  <c r="G214" i="235"/>
  <c r="H214" i="235"/>
  <c r="K199" i="235"/>
  <c r="H189" i="235"/>
  <c r="M189" i="235"/>
  <c r="I189" i="235"/>
  <c r="E189" i="235"/>
  <c r="J180" i="235"/>
  <c r="F180" i="235"/>
  <c r="J168" i="235"/>
  <c r="I153" i="235"/>
  <c r="I122" i="235"/>
  <c r="E122" i="235"/>
  <c r="L107" i="235"/>
  <c r="J95" i="253" s="1"/>
  <c r="J107" i="235"/>
  <c r="H95" i="253" s="1"/>
  <c r="F107" i="235"/>
  <c r="D95" i="253" s="1"/>
  <c r="J97" i="235"/>
  <c r="L88" i="235"/>
  <c r="J88" i="235"/>
  <c r="G76" i="235"/>
  <c r="L33" i="337"/>
  <c r="K30" i="143"/>
  <c r="K36" i="143" s="1"/>
  <c r="H67" i="144"/>
  <c r="H12" i="237" s="1"/>
  <c r="F34" i="144"/>
  <c r="C34" i="144"/>
  <c r="C71" i="144"/>
  <c r="G25" i="316"/>
  <c r="G59" i="316"/>
  <c r="E66" i="146"/>
  <c r="H46" i="146"/>
  <c r="H37" i="148"/>
  <c r="L23" i="139"/>
  <c r="H23" i="139"/>
  <c r="M23" i="139"/>
  <c r="L74" i="338"/>
  <c r="M17" i="338"/>
  <c r="I17" i="338"/>
  <c r="E17" i="338"/>
  <c r="K47" i="248"/>
  <c r="D36" i="248"/>
  <c r="D2" i="336"/>
  <c r="C2" i="88"/>
  <c r="A272" i="342"/>
  <c r="A32" i="233"/>
  <c r="G63" i="126"/>
  <c r="F27" i="86"/>
  <c r="H112" i="123"/>
  <c r="H27" i="253"/>
  <c r="F48" i="248"/>
  <c r="G56" i="338" s="1"/>
  <c r="G54" i="338" s="1"/>
  <c r="G53" i="338" s="1"/>
  <c r="G47" i="248"/>
  <c r="E47" i="248"/>
  <c r="K46" i="248"/>
  <c r="C46" i="248"/>
  <c r="J45" i="248"/>
  <c r="H45" i="248"/>
  <c r="I44" i="248"/>
  <c r="J43" i="248"/>
  <c r="K42" i="248"/>
  <c r="I42" i="248"/>
  <c r="C42" i="248"/>
  <c r="H40" i="248"/>
  <c r="F39" i="248"/>
  <c r="G42" i="123"/>
  <c r="E2" i="141"/>
  <c r="J93" i="123"/>
  <c r="F93" i="123"/>
  <c r="H92" i="123"/>
  <c r="A1" i="123"/>
  <c r="A1" i="314"/>
  <c r="L39" i="123"/>
  <c r="F39" i="126"/>
  <c r="L105" i="123"/>
  <c r="H15" i="88"/>
  <c r="F47" i="248"/>
  <c r="F38" i="248"/>
  <c r="C38" i="248"/>
  <c r="E11" i="88"/>
  <c r="L34" i="129"/>
  <c r="L40" i="129"/>
  <c r="D34" i="129"/>
  <c r="H55" i="123"/>
  <c r="M8" i="137"/>
  <c r="K8" i="137"/>
  <c r="I8" i="137"/>
  <c r="C8" i="137"/>
  <c r="L8" i="137"/>
  <c r="J8" i="137"/>
  <c r="H8" i="137"/>
  <c r="E8" i="137"/>
  <c r="D8" i="137"/>
  <c r="L9" i="137"/>
  <c r="J9" i="137"/>
  <c r="H9" i="137"/>
  <c r="E9" i="137"/>
  <c r="D9" i="137"/>
  <c r="M9" i="137"/>
  <c r="K9" i="137"/>
  <c r="I9" i="137"/>
  <c r="C9" i="137"/>
  <c r="C10" i="137"/>
  <c r="M32" i="137"/>
  <c r="K32" i="137"/>
  <c r="I32" i="137"/>
  <c r="G32" i="137"/>
  <c r="E32" i="137"/>
  <c r="C32" i="137"/>
  <c r="L32" i="137"/>
  <c r="J32" i="137"/>
  <c r="H32" i="137"/>
  <c r="F32" i="137"/>
  <c r="D32" i="137"/>
  <c r="L23" i="298"/>
  <c r="J23" i="298"/>
  <c r="H23" i="298"/>
  <c r="F23" i="298"/>
  <c r="D23" i="298"/>
  <c r="K23" i="298"/>
  <c r="I23" i="298"/>
  <c r="G23" i="298"/>
  <c r="E23" i="298"/>
  <c r="C23" i="298"/>
  <c r="J13" i="298"/>
  <c r="H13" i="298"/>
  <c r="F13" i="298"/>
  <c r="D13" i="298"/>
  <c r="L13" i="298"/>
  <c r="K13" i="298"/>
  <c r="I13" i="298"/>
  <c r="G13" i="298"/>
  <c r="E13" i="298"/>
  <c r="C13" i="298"/>
  <c r="J10" i="298"/>
  <c r="H10" i="298"/>
  <c r="F10" i="298"/>
  <c r="D10" i="298"/>
  <c r="L10" i="298"/>
  <c r="K10" i="298"/>
  <c r="I10" i="298"/>
  <c r="G10" i="298"/>
  <c r="E10" i="298"/>
  <c r="C10" i="298"/>
  <c r="H5" i="137"/>
  <c r="I5" i="137"/>
  <c r="L39" i="298"/>
  <c r="J39" i="298"/>
  <c r="H39" i="298"/>
  <c r="F39" i="298"/>
  <c r="D39" i="298"/>
  <c r="K39" i="298"/>
  <c r="I39" i="298"/>
  <c r="G39" i="298"/>
  <c r="E39" i="298"/>
  <c r="C39" i="298"/>
  <c r="L36" i="298"/>
  <c r="J36" i="298"/>
  <c r="H36" i="298"/>
  <c r="F36" i="298"/>
  <c r="D36" i="298"/>
  <c r="K36" i="298"/>
  <c r="I36" i="298"/>
  <c r="G36" i="298"/>
  <c r="E36" i="298"/>
  <c r="C36" i="298"/>
  <c r="L34" i="298"/>
  <c r="J34" i="298"/>
  <c r="H34" i="298"/>
  <c r="F34" i="298"/>
  <c r="D34" i="298"/>
  <c r="K34" i="298"/>
  <c r="I34" i="298"/>
  <c r="G34" i="298"/>
  <c r="E34" i="298"/>
  <c r="C34" i="298"/>
  <c r="L33" i="298"/>
  <c r="J33" i="298"/>
  <c r="H33" i="298"/>
  <c r="F33" i="298"/>
  <c r="D33" i="298"/>
  <c r="K33" i="298"/>
  <c r="I33" i="298"/>
  <c r="G33" i="298"/>
  <c r="E33" i="298"/>
  <c r="C33" i="298"/>
  <c r="L12" i="298"/>
  <c r="K12" i="298"/>
  <c r="I12" i="298"/>
  <c r="G12" i="298"/>
  <c r="E12" i="298"/>
  <c r="C12" i="298"/>
  <c r="J12" i="298"/>
  <c r="H12" i="298"/>
  <c r="F12" i="298"/>
  <c r="D12" i="298"/>
  <c r="L7" i="298"/>
  <c r="J7" i="298"/>
  <c r="H7" i="298"/>
  <c r="F7" i="298"/>
  <c r="D7" i="298"/>
  <c r="K7" i="298"/>
  <c r="I7" i="298"/>
  <c r="G7" i="298"/>
  <c r="E7" i="298"/>
  <c r="C7" i="298"/>
  <c r="L37" i="298"/>
  <c r="J37" i="298"/>
  <c r="H37" i="298"/>
  <c r="F37" i="298"/>
  <c r="D37" i="298"/>
  <c r="K37" i="298"/>
  <c r="I37" i="298"/>
  <c r="G37" i="298"/>
  <c r="E37" i="298"/>
  <c r="C37" i="298"/>
  <c r="L14" i="298"/>
  <c r="K14" i="298"/>
  <c r="I14" i="298"/>
  <c r="G14" i="298"/>
  <c r="E14" i="298"/>
  <c r="C14" i="298"/>
  <c r="J14" i="298"/>
  <c r="H14" i="298"/>
  <c r="F14" i="298"/>
  <c r="D14" i="298"/>
  <c r="L8" i="298"/>
  <c r="J8" i="298"/>
  <c r="H8" i="298"/>
  <c r="F8" i="298"/>
  <c r="D8" i="298"/>
  <c r="K8" i="298"/>
  <c r="I8" i="298"/>
  <c r="G8" i="298"/>
  <c r="E8" i="298"/>
  <c r="C8" i="298"/>
  <c r="K7" i="299"/>
  <c r="I7" i="299"/>
  <c r="G7" i="299"/>
  <c r="E7" i="299"/>
  <c r="C7" i="299"/>
  <c r="L7" i="299"/>
  <c r="J7" i="299"/>
  <c r="H7" i="299"/>
  <c r="F7" i="299"/>
  <c r="D7" i="299"/>
  <c r="L6" i="299"/>
  <c r="J6" i="299"/>
  <c r="H6" i="299"/>
  <c r="F6" i="299"/>
  <c r="D6" i="299"/>
  <c r="K6" i="299"/>
  <c r="I6" i="299"/>
  <c r="G6" i="299"/>
  <c r="E6" i="299"/>
  <c r="C6" i="299"/>
  <c r="L31" i="137"/>
  <c r="J31" i="137"/>
  <c r="H31" i="137"/>
  <c r="F31" i="137"/>
  <c r="D31" i="137"/>
  <c r="M31" i="137"/>
  <c r="K31" i="137"/>
  <c r="I31" i="137"/>
  <c r="G31" i="137"/>
  <c r="E31" i="137"/>
  <c r="C31" i="137"/>
  <c r="L27" i="137"/>
  <c r="J27" i="137"/>
  <c r="H27" i="137"/>
  <c r="F27" i="137"/>
  <c r="D27" i="137"/>
  <c r="M27" i="137"/>
  <c r="K27" i="137"/>
  <c r="I27" i="137"/>
  <c r="G27" i="137"/>
  <c r="E27" i="137"/>
  <c r="C27" i="137"/>
  <c r="C21" i="137"/>
  <c r="N21" i="137"/>
  <c r="U3" i="127"/>
  <c r="C2" i="255"/>
  <c r="C2" i="316"/>
  <c r="C2" i="343"/>
  <c r="C2" i="233"/>
  <c r="C2" i="127"/>
  <c r="D2" i="128"/>
  <c r="F155" i="235"/>
  <c r="D2" i="147"/>
  <c r="J2" i="139"/>
  <c r="H3" i="362"/>
  <c r="B109" i="100"/>
  <c r="A1" i="253" s="1"/>
  <c r="F2" i="358"/>
  <c r="F2" i="301"/>
  <c r="H2" i="141"/>
  <c r="F2" i="146"/>
  <c r="F2" i="148"/>
  <c r="J3" i="337"/>
  <c r="I3" i="349"/>
  <c r="B2" i="95"/>
  <c r="I3" i="249"/>
  <c r="K3" i="141"/>
  <c r="I3" i="301"/>
  <c r="I3" i="253"/>
  <c r="C2" i="300"/>
  <c r="J3" i="305"/>
  <c r="K110" i="235"/>
  <c r="C2" i="140"/>
  <c r="D2" i="249"/>
  <c r="D2" i="126"/>
  <c r="S3" i="233"/>
  <c r="C2" i="358"/>
  <c r="E201" i="235"/>
  <c r="C2" i="134"/>
  <c r="G22" i="127"/>
  <c r="G8" i="88" s="1"/>
  <c r="D2" i="246"/>
  <c r="E26" i="248"/>
  <c r="E20" i="248"/>
  <c r="V3" i="233"/>
  <c r="B143" i="100"/>
  <c r="A1" i="301" s="1"/>
  <c r="K97" i="358"/>
  <c r="H36" i="142"/>
  <c r="E71" i="144"/>
  <c r="F71" i="144"/>
  <c r="F35" i="237"/>
  <c r="J35" i="237"/>
  <c r="K36" i="142"/>
  <c r="G15" i="123"/>
  <c r="K55" i="123"/>
  <c r="H84" i="123"/>
  <c r="D11" i="88"/>
  <c r="L39" i="126"/>
  <c r="M92" i="123"/>
  <c r="B105" i="100"/>
  <c r="A1" i="129" s="1"/>
  <c r="E68" i="248"/>
  <c r="L55" i="123"/>
  <c r="I84" i="123" s="1"/>
  <c r="L92" i="123"/>
  <c r="L49" i="123"/>
  <c r="P20" i="137"/>
  <c r="F20" i="137" s="1"/>
  <c r="F22" i="137" s="1"/>
  <c r="I5" i="133"/>
  <c r="O5" i="298" s="1"/>
  <c r="B108" i="100"/>
  <c r="A1" i="248" s="1"/>
  <c r="B106" i="100"/>
  <c r="A1" i="131" s="1"/>
  <c r="B104" i="100"/>
  <c r="A1" i="343" s="1"/>
  <c r="B103" i="100"/>
  <c r="A1" i="127" s="1"/>
  <c r="B100" i="100"/>
  <c r="A1" i="86" s="1"/>
  <c r="K21" i="86"/>
  <c r="E15" i="86"/>
  <c r="H9" i="86"/>
  <c r="H5" i="86"/>
  <c r="C17" i="86"/>
  <c r="E92" i="123"/>
  <c r="P25" i="300"/>
  <c r="J39" i="129"/>
  <c r="I12" i="129"/>
  <c r="H35" i="86" s="1"/>
  <c r="G46" i="248"/>
  <c r="K45" i="248"/>
  <c r="G45" i="248"/>
  <c r="I43" i="248"/>
  <c r="J42" i="248"/>
  <c r="D40" i="248"/>
  <c r="H38" i="248"/>
  <c r="B17" i="86"/>
  <c r="K5" i="299"/>
  <c r="I5" i="299"/>
  <c r="G5" i="299"/>
  <c r="E5" i="299"/>
  <c r="C5" i="299"/>
  <c r="L5" i="299"/>
  <c r="J5" i="299"/>
  <c r="H5" i="299"/>
  <c r="F5" i="299"/>
  <c r="D5" i="299"/>
  <c r="M20" i="137"/>
  <c r="I20" i="137"/>
  <c r="J20" i="137"/>
  <c r="E20" i="137"/>
  <c r="L45" i="298"/>
  <c r="J45" i="298"/>
  <c r="H45" i="298"/>
  <c r="F45" i="298"/>
  <c r="D45" i="298"/>
  <c r="K45" i="298"/>
  <c r="I45" i="298"/>
  <c r="G45" i="298"/>
  <c r="E45" i="298"/>
  <c r="C45" i="298"/>
  <c r="K22" i="298"/>
  <c r="I22" i="298"/>
  <c r="G22" i="298"/>
  <c r="E22" i="298"/>
  <c r="C22" i="298"/>
  <c r="L22" i="298"/>
  <c r="J22" i="298"/>
  <c r="H22" i="298"/>
  <c r="F22" i="298"/>
  <c r="D22" i="298"/>
  <c r="L8" i="299"/>
  <c r="J8" i="299"/>
  <c r="H8" i="299"/>
  <c r="F8" i="299"/>
  <c r="D8" i="299"/>
  <c r="K8" i="299"/>
  <c r="I8" i="299"/>
  <c r="G8" i="299"/>
  <c r="E8" i="299"/>
  <c r="C8" i="299"/>
  <c r="L29" i="137"/>
  <c r="J29" i="137"/>
  <c r="H29" i="137"/>
  <c r="F29" i="137"/>
  <c r="D29" i="137"/>
  <c r="M29" i="137"/>
  <c r="K29" i="137"/>
  <c r="I29" i="137"/>
  <c r="G29" i="137"/>
  <c r="E29" i="137"/>
  <c r="C29" i="137"/>
  <c r="J19" i="137"/>
  <c r="H19" i="137"/>
  <c r="E19" i="137"/>
  <c r="D19" i="137"/>
  <c r="M19" i="137"/>
  <c r="L19" i="137"/>
  <c r="K19" i="137"/>
  <c r="I19" i="137"/>
  <c r="C19" i="137"/>
  <c r="M18" i="137"/>
  <c r="L18" i="137"/>
  <c r="K18" i="137"/>
  <c r="I18" i="137"/>
  <c r="C18" i="137"/>
  <c r="J18" i="137"/>
  <c r="H18" i="137"/>
  <c r="E18" i="137"/>
  <c r="D18" i="137"/>
  <c r="J17" i="137"/>
  <c r="H17" i="137"/>
  <c r="E17" i="137"/>
  <c r="D17" i="137"/>
  <c r="M17" i="137"/>
  <c r="L17" i="137"/>
  <c r="K17" i="137"/>
  <c r="I17" i="137"/>
  <c r="C17" i="137"/>
  <c r="M16" i="137"/>
  <c r="L16" i="137"/>
  <c r="K16" i="137"/>
  <c r="I16" i="137"/>
  <c r="C16" i="137"/>
  <c r="J16" i="137"/>
  <c r="H16" i="137"/>
  <c r="E16" i="137"/>
  <c r="D16" i="137"/>
  <c r="J15" i="137"/>
  <c r="H15" i="137"/>
  <c r="E15" i="137"/>
  <c r="D15" i="137"/>
  <c r="M15" i="137"/>
  <c r="L15" i="137"/>
  <c r="K15" i="137"/>
  <c r="I15" i="137"/>
  <c r="C15" i="137"/>
  <c r="M14" i="137"/>
  <c r="L14" i="137"/>
  <c r="K14" i="137"/>
  <c r="I14" i="137"/>
  <c r="C14" i="137"/>
  <c r="J14" i="137"/>
  <c r="H14" i="137"/>
  <c r="E14" i="137"/>
  <c r="D14" i="137"/>
  <c r="J13" i="137"/>
  <c r="H13" i="137"/>
  <c r="E13" i="137"/>
  <c r="D13" i="137"/>
  <c r="M13" i="137"/>
  <c r="L13" i="137"/>
  <c r="K13" i="137"/>
  <c r="I13" i="137"/>
  <c r="C13" i="137"/>
  <c r="M12" i="137"/>
  <c r="L12" i="137"/>
  <c r="K12" i="137"/>
  <c r="I12" i="137"/>
  <c r="C12" i="137"/>
  <c r="J12" i="137"/>
  <c r="H12" i="137"/>
  <c r="E12" i="137"/>
  <c r="D12" i="137"/>
  <c r="J11" i="137"/>
  <c r="H11" i="137"/>
  <c r="E11" i="137"/>
  <c r="D11" i="137"/>
  <c r="M11" i="137"/>
  <c r="L11" i="137"/>
  <c r="K11" i="137"/>
  <c r="I11" i="137"/>
  <c r="C11" i="137"/>
  <c r="M6" i="137"/>
  <c r="K6" i="137"/>
  <c r="I6" i="137"/>
  <c r="C6" i="137"/>
  <c r="L6" i="137"/>
  <c r="J6" i="137"/>
  <c r="H6" i="137"/>
  <c r="E6" i="137"/>
  <c r="D6" i="137"/>
  <c r="K15" i="300"/>
  <c r="I15" i="300"/>
  <c r="E15" i="300"/>
  <c r="C15" i="300"/>
  <c r="L15" i="300"/>
  <c r="H15" i="300"/>
  <c r="F15" i="300"/>
  <c r="D15" i="300"/>
  <c r="L9" i="300"/>
  <c r="H9" i="300"/>
  <c r="F9" i="300"/>
  <c r="D9" i="300"/>
  <c r="K9" i="300"/>
  <c r="I9" i="300"/>
  <c r="E9" i="300"/>
  <c r="C9" i="300"/>
  <c r="K5" i="300"/>
  <c r="H5" i="300"/>
  <c r="H25" i="300"/>
  <c r="E5" i="300"/>
  <c r="E25" i="300"/>
  <c r="C5" i="300"/>
  <c r="I5" i="300"/>
  <c r="F5" i="300"/>
  <c r="D5" i="300"/>
  <c r="K74" i="338"/>
  <c r="K70" i="338"/>
  <c r="C26" i="137"/>
  <c r="J48" i="146"/>
  <c r="F14" i="146"/>
  <c r="J47" i="337"/>
  <c r="F18" i="337"/>
  <c r="E18" i="337"/>
  <c r="M50" i="298"/>
  <c r="M53" i="298"/>
  <c r="H63" i="95"/>
  <c r="G54" i="95"/>
  <c r="G64" i="95" s="1"/>
  <c r="H54" i="95"/>
  <c r="H64" i="95" s="1"/>
  <c r="J54" i="95"/>
  <c r="J64" i="95" s="1"/>
  <c r="O54" i="95"/>
  <c r="O64" i="95" s="1"/>
  <c r="F54" i="95"/>
  <c r="F64" i="95" s="1"/>
  <c r="B54" i="95"/>
  <c r="B56" i="95" s="1"/>
  <c r="C55" i="95" s="1"/>
  <c r="C56" i="95" s="1"/>
  <c r="D55" i="95" s="1"/>
  <c r="D53" i="316"/>
  <c r="D25" i="316"/>
  <c r="G53" i="136"/>
  <c r="J53" i="136"/>
  <c r="Q40" i="298"/>
  <c r="K38" i="133"/>
  <c r="Q38" i="298" s="1"/>
  <c r="Q29" i="298"/>
  <c r="K28" i="133"/>
  <c r="Q28" i="298"/>
  <c r="K52" i="351"/>
  <c r="K37" i="351"/>
  <c r="K15" i="351"/>
  <c r="L36" i="131"/>
  <c r="L49" i="131" s="1"/>
  <c r="G46" i="253"/>
  <c r="I94" i="253"/>
  <c r="C46" i="253"/>
  <c r="I14" i="146"/>
  <c r="H14" i="146"/>
  <c r="G46" i="146"/>
  <c r="J37" i="148"/>
  <c r="H36" i="131"/>
  <c r="I67" i="338"/>
  <c r="G36" i="131"/>
  <c r="G38" i="131"/>
  <c r="H48" i="131"/>
  <c r="G48" i="131"/>
  <c r="K36" i="131"/>
  <c r="L67" i="338"/>
  <c r="K48" i="131"/>
  <c r="I34" i="305"/>
  <c r="F22" i="127"/>
  <c r="F19" i="88"/>
  <c r="J74" i="338"/>
  <c r="P28" i="137"/>
  <c r="J68" i="248"/>
  <c r="J13" i="86"/>
  <c r="O28" i="137"/>
  <c r="I13" i="86"/>
  <c r="E6" i="349"/>
  <c r="E77" i="349"/>
  <c r="E162" i="255" s="1"/>
  <c r="G77" i="358"/>
  <c r="G97" i="358" s="1"/>
  <c r="I46" i="146"/>
  <c r="J121" i="351"/>
  <c r="O40" i="298"/>
  <c r="I38" i="133"/>
  <c r="O38" i="298"/>
  <c r="J15" i="351"/>
  <c r="H37" i="123"/>
  <c r="K93" i="123"/>
  <c r="H35" i="338"/>
  <c r="H34" i="338" s="1"/>
  <c r="G25" i="127"/>
  <c r="E63" i="126"/>
  <c r="D27" i="86" s="1"/>
  <c r="F112" i="123" s="1"/>
  <c r="O25" i="300"/>
  <c r="L14" i="88"/>
  <c r="K35" i="86"/>
  <c r="J40" i="123"/>
  <c r="C5" i="133"/>
  <c r="J34" i="129"/>
  <c r="J40" i="129" s="1"/>
  <c r="J42" i="129" s="1"/>
  <c r="J55" i="129" s="1"/>
  <c r="E48" i="248"/>
  <c r="F56" i="338" s="1"/>
  <c r="F54" i="338" s="1"/>
  <c r="F53" i="338" s="1"/>
  <c r="D17" i="338"/>
  <c r="A10" i="299"/>
  <c r="A28" i="299"/>
  <c r="H2" i="246"/>
  <c r="P7" i="140"/>
  <c r="K32" i="86"/>
  <c r="C32" i="86"/>
  <c r="H105" i="123"/>
  <c r="D105" i="123"/>
  <c r="D19" i="133"/>
  <c r="D15" i="133"/>
  <c r="M40" i="123"/>
  <c r="F40" i="123"/>
  <c r="I76" i="338"/>
  <c r="I71" i="338"/>
  <c r="J44" i="248"/>
  <c r="G34" i="129"/>
  <c r="H12" i="129"/>
  <c r="D12" i="129"/>
  <c r="H47" i="248"/>
  <c r="D47" i="248"/>
  <c r="J42" i="338"/>
  <c r="E43" i="123"/>
  <c r="E11" i="123" s="1"/>
  <c r="E103" i="123" s="1"/>
  <c r="F38" i="123"/>
  <c r="J38" i="123"/>
  <c r="P26" i="299"/>
  <c r="H41" i="123"/>
  <c r="G40" i="123"/>
  <c r="E40" i="123"/>
  <c r="L18" i="88"/>
  <c r="F6" i="86"/>
  <c r="B6" i="86"/>
  <c r="B10" i="86"/>
  <c r="D127" i="123"/>
  <c r="Q25" i="300"/>
  <c r="D12" i="294"/>
  <c r="F11" i="88"/>
  <c r="G44" i="248"/>
  <c r="E42" i="248"/>
  <c r="G38" i="248"/>
  <c r="I36" i="248"/>
  <c r="E106" i="351"/>
  <c r="E15" i="133"/>
  <c r="E9" i="133"/>
  <c r="A15" i="126"/>
  <c r="A33" i="126" s="1"/>
  <c r="A32" i="140" s="1"/>
  <c r="A274" i="343"/>
  <c r="J37" i="351"/>
  <c r="F16" i="133"/>
  <c r="F15" i="133"/>
  <c r="F37" i="351"/>
  <c r="E338" i="342"/>
  <c r="E26" i="233"/>
  <c r="G33" i="88"/>
  <c r="G19" i="88"/>
  <c r="F2" i="362"/>
  <c r="I2" i="235"/>
  <c r="E2" i="316"/>
  <c r="E2" i="133"/>
  <c r="G2" i="141"/>
  <c r="F2" i="123"/>
  <c r="E2" i="305"/>
  <c r="E78" i="147"/>
  <c r="C2" i="148"/>
  <c r="G109" i="235"/>
  <c r="E2" i="337"/>
  <c r="E2" i="142"/>
  <c r="E2" i="146"/>
  <c r="E2" i="128"/>
  <c r="K3" i="256"/>
  <c r="E2" i="129"/>
  <c r="G2" i="315"/>
  <c r="D2" i="86"/>
  <c r="E2" i="127"/>
  <c r="G2" i="314"/>
  <c r="E2" i="233"/>
  <c r="E2" i="358"/>
  <c r="E2" i="131"/>
  <c r="E2" i="134"/>
  <c r="E2" i="126"/>
  <c r="E2" i="342"/>
  <c r="E2" i="350"/>
  <c r="E2" i="136"/>
  <c r="E2" i="301"/>
  <c r="G155" i="235"/>
  <c r="E2" i="144"/>
  <c r="G63" i="235"/>
  <c r="F3" i="338"/>
  <c r="E2" i="255"/>
  <c r="E2" i="237"/>
  <c r="P6" i="140"/>
  <c r="A36" i="126"/>
  <c r="A35" i="140"/>
  <c r="A17" i="140"/>
  <c r="O20" i="298"/>
  <c r="I43" i="133"/>
  <c r="O43" i="298" s="1"/>
  <c r="I121" i="351"/>
  <c r="C42" i="133"/>
  <c r="I74" i="351"/>
  <c r="I29" i="133"/>
  <c r="F22" i="133"/>
  <c r="F19" i="133" s="1"/>
  <c r="F52" i="351"/>
  <c r="I9" i="233"/>
  <c r="I170" i="342"/>
  <c r="F10" i="86"/>
  <c r="H39" i="126"/>
  <c r="H37" i="86"/>
  <c r="J3" i="134"/>
  <c r="J3" i="249"/>
  <c r="E2" i="253"/>
  <c r="E2" i="351"/>
  <c r="E2" i="88"/>
  <c r="A7" i="299"/>
  <c r="A25" i="299"/>
  <c r="C170" i="342"/>
  <c r="K20" i="233"/>
  <c r="D10" i="294"/>
  <c r="C20" i="233"/>
  <c r="Q10" i="298"/>
  <c r="K9" i="133"/>
  <c r="Q9" i="298" s="1"/>
  <c r="F2" i="336"/>
  <c r="F2" i="134"/>
  <c r="F2" i="248"/>
  <c r="F2" i="136"/>
  <c r="H109" i="235"/>
  <c r="E2" i="86"/>
  <c r="F2" i="144"/>
  <c r="G3" i="338"/>
  <c r="H2" i="314"/>
  <c r="F2" i="349"/>
  <c r="F2" i="142"/>
  <c r="F2" i="127"/>
  <c r="F2" i="337"/>
  <c r="H155" i="235"/>
  <c r="F2" i="343"/>
  <c r="F2" i="350"/>
  <c r="G2" i="361"/>
  <c r="J2" i="235"/>
  <c r="F2" i="88"/>
  <c r="F2" i="129"/>
  <c r="F2" i="133"/>
  <c r="H63" i="235"/>
  <c r="F2" i="342"/>
  <c r="F2" i="128"/>
  <c r="G2" i="123"/>
  <c r="F2" i="126"/>
  <c r="H201" i="235"/>
  <c r="F2" i="233"/>
  <c r="F2" i="249"/>
  <c r="F78" i="147"/>
  <c r="F2" i="316"/>
  <c r="F2" i="351"/>
  <c r="F2" i="253"/>
  <c r="F2" i="147"/>
  <c r="L3" i="256"/>
  <c r="H2" i="315"/>
  <c r="G2" i="362"/>
  <c r="B150" i="100"/>
  <c r="A1" i="294"/>
  <c r="K107" i="123"/>
  <c r="I32" i="86"/>
  <c r="K109" i="123" s="1"/>
  <c r="G107" i="123"/>
  <c r="E32" i="86"/>
  <c r="G109" i="123"/>
  <c r="F29" i="133"/>
  <c r="F28" i="133"/>
  <c r="J16" i="133"/>
  <c r="I35" i="133"/>
  <c r="I84" i="351"/>
  <c r="P33" i="298"/>
  <c r="J32" i="133"/>
  <c r="P32" i="298"/>
  <c r="D55" i="86"/>
  <c r="A14" i="299"/>
  <c r="A32" i="299"/>
  <c r="L2" i="246"/>
  <c r="D102" i="146"/>
  <c r="D49" i="146"/>
  <c r="K33" i="337"/>
  <c r="A148" i="342"/>
  <c r="A149" i="343"/>
  <c r="Q7" i="298"/>
  <c r="K5" i="133"/>
  <c r="E46" i="133"/>
  <c r="E121" i="351"/>
  <c r="H41" i="133"/>
  <c r="H38" i="133" s="1"/>
  <c r="H106" i="351"/>
  <c r="I26" i="233"/>
  <c r="O26" i="299"/>
  <c r="I3" i="362"/>
  <c r="J3" i="349"/>
  <c r="J3" i="336"/>
  <c r="K3" i="128"/>
  <c r="D3" i="294"/>
  <c r="J3" i="142"/>
  <c r="L3" i="141"/>
  <c r="J3" i="351"/>
  <c r="J3" i="358"/>
  <c r="K3" i="88"/>
  <c r="F3" i="139"/>
  <c r="K3" i="131"/>
  <c r="L64" i="235"/>
  <c r="L3" i="296"/>
  <c r="L156" i="235"/>
  <c r="J3" i="350"/>
  <c r="K3" i="255"/>
  <c r="O3" i="95"/>
  <c r="J3" i="146"/>
  <c r="J3" i="147"/>
  <c r="I3" i="361"/>
  <c r="J3" i="301"/>
  <c r="K3" i="343"/>
  <c r="L3" i="123"/>
  <c r="P3" i="140"/>
  <c r="J3" i="248"/>
  <c r="K3" i="127"/>
  <c r="N3" i="256"/>
  <c r="J3" i="144"/>
  <c r="L3" i="314"/>
  <c r="J3" i="233"/>
  <c r="P3" i="299"/>
  <c r="L202" i="235"/>
  <c r="W3" i="343"/>
  <c r="K3" i="237"/>
  <c r="J3" i="316"/>
  <c r="L4" i="338"/>
  <c r="J79" i="147"/>
  <c r="P3" i="137"/>
  <c r="K3" i="126"/>
  <c r="J3" i="86"/>
  <c r="D42" i="338"/>
  <c r="A329" i="343"/>
  <c r="A20" i="126"/>
  <c r="A19" i="140" s="1"/>
  <c r="D38" i="233"/>
  <c r="G39" i="126"/>
  <c r="L110" i="235"/>
  <c r="J3" i="342"/>
  <c r="J3" i="136"/>
  <c r="G201" i="235"/>
  <c r="F2" i="361"/>
  <c r="G30" i="88"/>
  <c r="Q8" i="140"/>
  <c r="O2" i="246"/>
  <c r="A17" i="299"/>
  <c r="A35" i="299" s="1"/>
  <c r="A29" i="126"/>
  <c r="A28" i="140"/>
  <c r="A10" i="294"/>
  <c r="A29" i="294"/>
  <c r="K18" i="337"/>
  <c r="I17" i="337"/>
  <c r="A34" i="126"/>
  <c r="A33" i="140"/>
  <c r="A15" i="140"/>
  <c r="A15" i="294"/>
  <c r="A34" i="294" s="1"/>
  <c r="A175" i="343"/>
  <c r="A6" i="126"/>
  <c r="L37" i="123"/>
  <c r="A50" i="343"/>
  <c r="A49" i="342"/>
  <c r="K42" i="133"/>
  <c r="Q42" i="298"/>
  <c r="Q45" i="298"/>
  <c r="C84" i="351"/>
  <c r="C37" i="133"/>
  <c r="C32" i="133"/>
  <c r="O23" i="299"/>
  <c r="D14" i="233"/>
  <c r="D20" i="233" s="1"/>
  <c r="D39" i="233" s="1"/>
  <c r="D45" i="233" s="1"/>
  <c r="D170" i="342"/>
  <c r="C2" i="350"/>
  <c r="C2" i="349"/>
  <c r="E2" i="315"/>
  <c r="C2" i="136"/>
  <c r="C2" i="142"/>
  <c r="C2" i="351"/>
  <c r="D2" i="237"/>
  <c r="F63" i="235"/>
  <c r="D2" i="305"/>
  <c r="X3" i="127"/>
  <c r="I3" i="336"/>
  <c r="M3" i="256"/>
  <c r="I3" i="337"/>
  <c r="J3" i="126"/>
  <c r="O3" i="137"/>
  <c r="O3" i="298"/>
  <c r="I3" i="136"/>
  <c r="D2" i="127"/>
  <c r="C2" i="237"/>
  <c r="C2" i="253"/>
  <c r="C22" i="127"/>
  <c r="U83" i="343"/>
  <c r="U3" i="342"/>
  <c r="U3" i="233"/>
  <c r="B102" i="100"/>
  <c r="M3" i="315"/>
  <c r="K3" i="342"/>
  <c r="K3" i="351"/>
  <c r="C73" i="338"/>
  <c r="D74" i="338" s="1"/>
  <c r="H36" i="88"/>
  <c r="K76" i="338"/>
  <c r="E20" i="233"/>
  <c r="I9" i="133"/>
  <c r="O9" i="298" s="1"/>
  <c r="E36" i="88"/>
  <c r="Q72" i="343"/>
  <c r="Q116" i="343"/>
  <c r="Q160" i="343"/>
  <c r="F76" i="338"/>
  <c r="P7" i="137"/>
  <c r="F7" i="137"/>
  <c r="H17" i="88"/>
  <c r="B151" i="100"/>
  <c r="A1" i="256" s="1"/>
  <c r="J43" i="86"/>
  <c r="F43" i="86"/>
  <c r="F121" i="351"/>
  <c r="E38" i="133"/>
  <c r="K106" i="351"/>
  <c r="Q33" i="298"/>
  <c r="K32" i="133"/>
  <c r="G33" i="133"/>
  <c r="G32" i="133"/>
  <c r="G84" i="351"/>
  <c r="I52" i="351"/>
  <c r="I21" i="133"/>
  <c r="O21" i="298"/>
  <c r="E15" i="351"/>
  <c r="F5" i="351"/>
  <c r="F8" i="133"/>
  <c r="F5" i="133"/>
  <c r="F25" i="133" s="1"/>
  <c r="F57" i="133" s="1"/>
  <c r="E6" i="133"/>
  <c r="E5" i="133" s="1"/>
  <c r="E5" i="351"/>
  <c r="Q32" i="137"/>
  <c r="M40" i="338"/>
  <c r="M37" i="338" s="1"/>
  <c r="M58" i="338" s="1"/>
  <c r="M80" i="338" s="1"/>
  <c r="O30" i="137"/>
  <c r="K38" i="338"/>
  <c r="K37" i="338"/>
  <c r="K74" i="126"/>
  <c r="J28" i="86"/>
  <c r="L107" i="123" s="1"/>
  <c r="K63" i="126"/>
  <c r="J27" i="86" s="1"/>
  <c r="L112" i="123" s="1"/>
  <c r="I39" i="126"/>
  <c r="C171" i="343"/>
  <c r="C16" i="126"/>
  <c r="J94" i="343"/>
  <c r="J14" i="126" s="1"/>
  <c r="J54" i="343"/>
  <c r="J50" i="343" s="1"/>
  <c r="J10" i="126" s="1"/>
  <c r="Q50" i="343"/>
  <c r="J32" i="343"/>
  <c r="J28" i="343" s="1"/>
  <c r="Q28" i="343"/>
  <c r="K39" i="129"/>
  <c r="J38" i="86" s="1"/>
  <c r="K11" i="88"/>
  <c r="L25" i="129"/>
  <c r="J47" i="123"/>
  <c r="J39" i="123" s="1"/>
  <c r="H6" i="86"/>
  <c r="L54" i="123"/>
  <c r="L10" i="123"/>
  <c r="K36" i="237" s="1"/>
  <c r="L93" i="123"/>
  <c r="L17" i="88"/>
  <c r="L46" i="123"/>
  <c r="L76" i="338"/>
  <c r="M93" i="123"/>
  <c r="H93" i="123"/>
  <c r="H54" i="123"/>
  <c r="H10" i="123" s="1"/>
  <c r="H46" i="123"/>
  <c r="H38" i="123"/>
  <c r="G36" i="88"/>
  <c r="J92" i="123"/>
  <c r="I36" i="88"/>
  <c r="I22" i="127"/>
  <c r="I33" i="88" s="1"/>
  <c r="J76" i="338"/>
  <c r="F45" i="123"/>
  <c r="F37" i="123"/>
  <c r="G92" i="123"/>
  <c r="K340" i="343"/>
  <c r="C340" i="343"/>
  <c r="J116" i="343"/>
  <c r="J16" i="126" s="1"/>
  <c r="J109" i="343"/>
  <c r="J105" i="343" s="1"/>
  <c r="J15" i="126" s="1"/>
  <c r="Q105" i="343"/>
  <c r="J62" i="343"/>
  <c r="J61" i="343" s="1"/>
  <c r="J11" i="126" s="1"/>
  <c r="Q61" i="343"/>
  <c r="I93" i="123"/>
  <c r="K40" i="123"/>
  <c r="G18" i="88"/>
  <c r="C19" i="133"/>
  <c r="D18" i="88"/>
  <c r="I106" i="123"/>
  <c r="J6" i="86"/>
  <c r="P30" i="298"/>
  <c r="J28" i="133"/>
  <c r="F38" i="233"/>
  <c r="M340" i="342"/>
  <c r="J170" i="342"/>
  <c r="F25" i="127"/>
  <c r="S38" i="127"/>
  <c r="K9" i="86"/>
  <c r="M54" i="123"/>
  <c r="M10" i="123"/>
  <c r="D22" i="127"/>
  <c r="D33" i="88"/>
  <c r="C9" i="86"/>
  <c r="E54" i="123"/>
  <c r="E10" i="123" s="1"/>
  <c r="E116" i="123" s="1"/>
  <c r="M39" i="123"/>
  <c r="E6" i="86"/>
  <c r="G17" i="88"/>
  <c r="G93" i="123"/>
  <c r="G5" i="86"/>
  <c r="I92" i="123"/>
  <c r="I45" i="123"/>
  <c r="I37" i="123" s="1"/>
  <c r="I171" i="343"/>
  <c r="F40" i="129"/>
  <c r="E37" i="86"/>
  <c r="F14" i="88"/>
  <c r="F15" i="88"/>
  <c r="K12" i="129"/>
  <c r="K36" i="88"/>
  <c r="M15" i="123"/>
  <c r="C12" i="129"/>
  <c r="C35" i="237"/>
  <c r="E55" i="123"/>
  <c r="E84" i="123" s="1"/>
  <c r="I15" i="88"/>
  <c r="E12" i="129"/>
  <c r="E14" i="88"/>
  <c r="E15" i="88"/>
  <c r="E36" i="142"/>
  <c r="I36" i="131"/>
  <c r="C39" i="248"/>
  <c r="E37" i="248"/>
  <c r="F46" i="253"/>
  <c r="F95" i="253" s="1"/>
  <c r="E65" i="86"/>
  <c r="F20" i="233"/>
  <c r="F35" i="88"/>
  <c r="G35" i="88" s="1"/>
  <c r="H35" i="88" s="1"/>
  <c r="F8" i="88"/>
  <c r="F17" i="88"/>
  <c r="F54" i="123"/>
  <c r="F10" i="123"/>
  <c r="E36" i="237" s="1"/>
  <c r="E29" i="237" s="1"/>
  <c r="E32" i="237" s="1"/>
  <c r="E14" i="237" s="1"/>
  <c r="E18" i="237" s="1"/>
  <c r="D49" i="86" s="1"/>
  <c r="F47" i="123"/>
  <c r="F39" i="123" s="1"/>
  <c r="D6" i="86"/>
  <c r="D46" i="123"/>
  <c r="E38" i="123"/>
  <c r="D76" i="338"/>
  <c r="D17" i="88"/>
  <c r="G340" i="343"/>
  <c r="J160" i="343"/>
  <c r="J20" i="126" s="1"/>
  <c r="J84" i="343"/>
  <c r="J83" i="343" s="1"/>
  <c r="J13" i="126" s="1"/>
  <c r="Q83" i="343"/>
  <c r="J72" i="343"/>
  <c r="J12" i="126" s="1"/>
  <c r="L35" i="338"/>
  <c r="L34" i="338" s="1"/>
  <c r="K25" i="127"/>
  <c r="F36" i="88"/>
  <c r="Q20" i="298"/>
  <c r="K19" i="133"/>
  <c r="Q19" i="298"/>
  <c r="J17" i="88"/>
  <c r="O17" i="140"/>
  <c r="N17" i="140" s="1"/>
  <c r="C17" i="294"/>
  <c r="G38" i="133"/>
  <c r="D38" i="133"/>
  <c r="H84" i="351"/>
  <c r="H37" i="133"/>
  <c r="H32" i="133" s="1"/>
  <c r="I16" i="133"/>
  <c r="I37" i="351"/>
  <c r="Q340" i="342"/>
  <c r="W38" i="127"/>
  <c r="H22" i="127"/>
  <c r="H8" i="88" s="1"/>
  <c r="I18" i="88"/>
  <c r="I6" i="86"/>
  <c r="K18" i="88"/>
  <c r="J36" i="88"/>
  <c r="O7" i="137"/>
  <c r="L7" i="137" s="1"/>
  <c r="K5" i="86"/>
  <c r="Q5" i="137"/>
  <c r="G5" i="137"/>
  <c r="L36" i="88"/>
  <c r="M45" i="123"/>
  <c r="C5" i="86"/>
  <c r="E76" i="338"/>
  <c r="D36" i="88"/>
  <c r="K24" i="126"/>
  <c r="D5" i="294" s="1"/>
  <c r="C24" i="126"/>
  <c r="C39" i="126" s="1"/>
  <c r="C40" i="126" s="1"/>
  <c r="C2" i="305"/>
  <c r="C2" i="131"/>
  <c r="E109" i="235"/>
  <c r="C2" i="249"/>
  <c r="C2" i="146"/>
  <c r="C2" i="336"/>
  <c r="D2" i="316"/>
  <c r="F201" i="235"/>
  <c r="D2" i="255"/>
  <c r="F2" i="314"/>
  <c r="C2" i="144"/>
  <c r="L63" i="126"/>
  <c r="K27" i="86" s="1"/>
  <c r="M112" i="123" s="1"/>
  <c r="F31" i="88"/>
  <c r="A83" i="343"/>
  <c r="A13" i="126" s="1"/>
  <c r="A12" i="294" s="1"/>
  <c r="E86" i="350"/>
  <c r="G76" i="338"/>
  <c r="E93" i="123"/>
  <c r="Q9" i="137"/>
  <c r="G54" i="123"/>
  <c r="G10" i="123" s="1"/>
  <c r="K17" i="88"/>
  <c r="C36" i="88"/>
  <c r="L15" i="123"/>
  <c r="A241" i="343"/>
  <c r="F92" i="123"/>
  <c r="H76" i="338"/>
  <c r="D54" i="123"/>
  <c r="D10" i="123"/>
  <c r="D116" i="123" s="1"/>
  <c r="J18" i="88"/>
  <c r="E106" i="123"/>
  <c r="B140" i="100"/>
  <c r="A1" i="140" s="1"/>
  <c r="B149" i="100"/>
  <c r="A1" i="358" s="1"/>
  <c r="B152" i="100"/>
  <c r="A1" i="296" s="1"/>
  <c r="B112" i="100"/>
  <c r="A1" i="246" s="1"/>
  <c r="B137" i="100"/>
  <c r="A1" i="137" s="1"/>
  <c r="B138" i="100"/>
  <c r="A1" i="299" s="1"/>
  <c r="B146" i="100"/>
  <c r="A1" i="134" s="1"/>
  <c r="B147" i="100"/>
  <c r="A1" i="350" s="1"/>
  <c r="B139" i="100"/>
  <c r="A1" i="298" s="1"/>
  <c r="A38" i="342"/>
  <c r="A8" i="233" s="1"/>
  <c r="A39" i="343"/>
  <c r="K108" i="123"/>
  <c r="G6" i="86"/>
  <c r="J94" i="123" s="1"/>
  <c r="F38" i="133"/>
  <c r="K84" i="351"/>
  <c r="H74" i="351"/>
  <c r="K74" i="351"/>
  <c r="J52" i="351"/>
  <c r="D15" i="351"/>
  <c r="D71" i="351" s="1"/>
  <c r="K23" i="233"/>
  <c r="C338" i="342"/>
  <c r="C23" i="233"/>
  <c r="C38" i="233" s="1"/>
  <c r="C39" i="233" s="1"/>
  <c r="C45" i="233" s="1"/>
  <c r="P340" i="342"/>
  <c r="P40" i="137"/>
  <c r="I38" i="338"/>
  <c r="I42" i="338"/>
  <c r="G15" i="86"/>
  <c r="F38" i="338"/>
  <c r="F42" i="338" s="1"/>
  <c r="K68" i="248"/>
  <c r="K13" i="86"/>
  <c r="H68" i="248"/>
  <c r="G13" i="86"/>
  <c r="C13" i="86"/>
  <c r="D68" i="248"/>
  <c r="F99" i="123"/>
  <c r="H63" i="126"/>
  <c r="G27" i="86" s="1"/>
  <c r="I112" i="123" s="1"/>
  <c r="D63" i="126"/>
  <c r="C27" i="86"/>
  <c r="E112" i="123" s="1"/>
  <c r="I63" i="126"/>
  <c r="H27" i="86" s="1"/>
  <c r="J112" i="123" s="1"/>
  <c r="O23" i="140"/>
  <c r="O38" i="140"/>
  <c r="J39" i="126"/>
  <c r="I48" i="129"/>
  <c r="I11" i="88"/>
  <c r="D25" i="129"/>
  <c r="C15" i="133"/>
  <c r="K15" i="133"/>
  <c r="Q15" i="298" s="1"/>
  <c r="L37" i="338"/>
  <c r="D31" i="133"/>
  <c r="D28" i="133"/>
  <c r="F106" i="351"/>
  <c r="C106" i="351"/>
  <c r="E37" i="351"/>
  <c r="F170" i="342"/>
  <c r="F33" i="88"/>
  <c r="F63" i="126"/>
  <c r="E27" i="86" s="1"/>
  <c r="G112" i="123" s="1"/>
  <c r="E39" i="126"/>
  <c r="N171" i="343"/>
  <c r="H43" i="248"/>
  <c r="E32" i="133"/>
  <c r="G106" i="351"/>
  <c r="F15" i="351"/>
  <c r="F71" i="351" s="1"/>
  <c r="I15" i="351"/>
  <c r="I71" i="351"/>
  <c r="W340" i="342"/>
  <c r="O340" i="342"/>
  <c r="H37" i="338"/>
  <c r="K22" i="127"/>
  <c r="K19" i="88" s="1"/>
  <c r="V171" i="343"/>
  <c r="L17" i="343"/>
  <c r="L7" i="126"/>
  <c r="E6" i="294" s="1"/>
  <c r="D43" i="248"/>
  <c r="A63" i="248"/>
  <c r="H10" i="339"/>
  <c r="G39" i="248"/>
  <c r="I37" i="248"/>
  <c r="I39" i="129"/>
  <c r="E39" i="129"/>
  <c r="D38" i="86" s="1"/>
  <c r="K34" i="129"/>
  <c r="G40" i="129"/>
  <c r="C34" i="129"/>
  <c r="I52" i="249"/>
  <c r="J27" i="249"/>
  <c r="J37" i="338"/>
  <c r="J58" i="338"/>
  <c r="J80" i="338" s="1"/>
  <c r="G171" i="343"/>
  <c r="G341" i="343" s="1"/>
  <c r="L28" i="343"/>
  <c r="L8" i="126"/>
  <c r="Q7" i="140" s="1"/>
  <c r="U17" i="343"/>
  <c r="L6" i="126"/>
  <c r="E5" i="294"/>
  <c r="R171" i="343"/>
  <c r="E171" i="343"/>
  <c r="J45" i="131"/>
  <c r="J48" i="131"/>
  <c r="C48" i="131"/>
  <c r="C49" i="131"/>
  <c r="J75" i="248"/>
  <c r="F75" i="248"/>
  <c r="F69" i="248" s="1"/>
  <c r="I47" i="248"/>
  <c r="J38" i="246"/>
  <c r="J42" i="246" s="1"/>
  <c r="F55" i="123"/>
  <c r="F84" i="123" s="1"/>
  <c r="P54" i="95"/>
  <c r="P64" i="95" s="1"/>
  <c r="I45" i="131"/>
  <c r="I48" i="131" s="1"/>
  <c r="I49" i="131" s="1"/>
  <c r="J36" i="131"/>
  <c r="J49" i="131" s="1"/>
  <c r="H75" i="248"/>
  <c r="D75" i="248"/>
  <c r="D69" i="248" s="1"/>
  <c r="K48" i="248"/>
  <c r="M56" i="338"/>
  <c r="M54" i="338" s="1"/>
  <c r="M53" i="338" s="1"/>
  <c r="G48" i="248"/>
  <c r="H56" i="338"/>
  <c r="H54" i="338" s="1"/>
  <c r="H53" i="338" s="1"/>
  <c r="J46" i="248"/>
  <c r="C44" i="248"/>
  <c r="D38" i="248"/>
  <c r="G93" i="253"/>
  <c r="K92" i="253"/>
  <c r="I199" i="235"/>
  <c r="H94" i="253"/>
  <c r="E45" i="248"/>
  <c r="K44" i="248"/>
  <c r="C6" i="350"/>
  <c r="C77" i="350" s="1"/>
  <c r="C25" i="248"/>
  <c r="C40" i="248"/>
  <c r="P171" i="343"/>
  <c r="E45" i="131"/>
  <c r="E48" i="131"/>
  <c r="J36" i="248"/>
  <c r="F94" i="253"/>
  <c r="M214" i="235"/>
  <c r="H153" i="235"/>
  <c r="L143" i="235"/>
  <c r="D50" i="249"/>
  <c r="D52" i="249"/>
  <c r="J49" i="316"/>
  <c r="J60" i="316"/>
  <c r="F49" i="316"/>
  <c r="F60" i="316"/>
  <c r="O42" i="139"/>
  <c r="O44" i="139"/>
  <c r="D44" i="139"/>
  <c r="G6" i="134"/>
  <c r="G77" i="134" s="1"/>
  <c r="G10" i="248"/>
  <c r="G40" i="248" s="1"/>
  <c r="G41" i="248" s="1"/>
  <c r="G49" i="248" s="1"/>
  <c r="G85" i="350" s="1"/>
  <c r="H39" i="248"/>
  <c r="I6" i="134"/>
  <c r="I77" i="134"/>
  <c r="I8" i="248"/>
  <c r="I38" i="248"/>
  <c r="E6" i="134"/>
  <c r="E77" i="134"/>
  <c r="E8" i="248"/>
  <c r="E38" i="248"/>
  <c r="E41" i="248" s="1"/>
  <c r="E49" i="248" s="1"/>
  <c r="J37" i="248"/>
  <c r="J41" i="248" s="1"/>
  <c r="J49" i="248" s="1"/>
  <c r="F37" i="248"/>
  <c r="C36" i="248"/>
  <c r="C41" i="248" s="1"/>
  <c r="C49" i="248" s="1"/>
  <c r="C48" i="248"/>
  <c r="D56" i="338"/>
  <c r="D54" i="338" s="1"/>
  <c r="D53" i="338" s="1"/>
  <c r="K43" i="248"/>
  <c r="G43" i="248"/>
  <c r="C43" i="248"/>
  <c r="F6" i="350"/>
  <c r="F77" i="350" s="1"/>
  <c r="F25" i="248"/>
  <c r="F40" i="248"/>
  <c r="G6" i="350"/>
  <c r="G77" i="350"/>
  <c r="H6" i="350"/>
  <c r="H77" i="350"/>
  <c r="H86" i="350" s="1"/>
  <c r="I6" i="350"/>
  <c r="I77" i="350" s="1"/>
  <c r="H46" i="248"/>
  <c r="D46" i="248"/>
  <c r="I45" i="248"/>
  <c r="I40" i="248"/>
  <c r="E40" i="248"/>
  <c r="J27" i="253"/>
  <c r="A12" i="128"/>
  <c r="A14" i="128"/>
  <c r="K245" i="235"/>
  <c r="J199" i="235"/>
  <c r="J189" i="235"/>
  <c r="L180" i="235"/>
  <c r="K168" i="235"/>
  <c r="I107" i="235"/>
  <c r="G95" i="253" s="1"/>
  <c r="E97" i="235"/>
  <c r="C94" i="253"/>
  <c r="K42" i="123"/>
  <c r="G18" i="337"/>
  <c r="K67" i="144"/>
  <c r="L12" i="237"/>
  <c r="G67" i="144"/>
  <c r="G12" i="237"/>
  <c r="J34" i="144"/>
  <c r="J71" i="144"/>
  <c r="E53" i="316"/>
  <c r="I25" i="316"/>
  <c r="I98" i="146"/>
  <c r="H30" i="146"/>
  <c r="G48" i="146"/>
  <c r="K6" i="349"/>
  <c r="K77" i="349" s="1"/>
  <c r="G6" i="349"/>
  <c r="G77" i="349" s="1"/>
  <c r="G100" i="349" s="1"/>
  <c r="J20" i="348"/>
  <c r="H37" i="248"/>
  <c r="H41" i="248"/>
  <c r="D37" i="248"/>
  <c r="K46" i="253"/>
  <c r="K95" i="253" s="1"/>
  <c r="E92" i="253"/>
  <c r="G122" i="235"/>
  <c r="E107" i="235"/>
  <c r="C95" i="253" s="1"/>
  <c r="K76" i="235"/>
  <c r="F32" i="337"/>
  <c r="G33" i="337"/>
  <c r="H34" i="337" s="1"/>
  <c r="I30" i="337"/>
  <c r="K32" i="142"/>
  <c r="J67" i="144"/>
  <c r="K12" i="237" s="1"/>
  <c r="D31" i="136"/>
  <c r="I49" i="316"/>
  <c r="I60" i="316"/>
  <c r="A18" i="316"/>
  <c r="A23" i="316"/>
  <c r="F66" i="146"/>
  <c r="G66" i="146"/>
  <c r="H6" i="134"/>
  <c r="H77" i="134"/>
  <c r="D6" i="358"/>
  <c r="D77" i="358"/>
  <c r="D97" i="358" s="1"/>
  <c r="J6" i="358"/>
  <c r="J77" i="358" s="1"/>
  <c r="J97" i="358" s="1"/>
  <c r="I54" i="294"/>
  <c r="I46" i="253"/>
  <c r="I27" i="253"/>
  <c r="E27" i="253"/>
  <c r="E93" i="253" s="1"/>
  <c r="C15" i="253"/>
  <c r="C92" i="253" s="1"/>
  <c r="J235" i="235"/>
  <c r="G235" i="235"/>
  <c r="L226" i="235"/>
  <c r="I226" i="235"/>
  <c r="K180" i="235"/>
  <c r="H180" i="235"/>
  <c r="G153" i="235"/>
  <c r="K143" i="235"/>
  <c r="F134" i="235"/>
  <c r="H122" i="235"/>
  <c r="K88" i="235"/>
  <c r="H88" i="235"/>
  <c r="F93" i="253"/>
  <c r="H32" i="142"/>
  <c r="F67" i="144"/>
  <c r="F12" i="237" s="1"/>
  <c r="H50" i="249"/>
  <c r="H52" i="249" s="1"/>
  <c r="L65" i="305"/>
  <c r="D65" i="305"/>
  <c r="G65" i="305"/>
  <c r="G88" i="255" s="1"/>
  <c r="J65" i="305"/>
  <c r="J88" i="255" s="1"/>
  <c r="K46" i="146"/>
  <c r="K104" i="146"/>
  <c r="E14" i="146"/>
  <c r="E48" i="146"/>
  <c r="I35" i="145"/>
  <c r="F57" i="145"/>
  <c r="I54" i="95"/>
  <c r="I64" i="95" s="1"/>
  <c r="I20" i="301"/>
  <c r="E20" i="301"/>
  <c r="C44" i="139"/>
  <c r="O9" i="139"/>
  <c r="J76" i="348"/>
  <c r="L76" i="348"/>
  <c r="H92" i="253"/>
  <c r="O38" i="246"/>
  <c r="O42" i="246"/>
  <c r="K38" i="246"/>
  <c r="K42" i="246"/>
  <c r="D82" i="128"/>
  <c r="C82" i="128"/>
  <c r="F245" i="235"/>
  <c r="H226" i="235"/>
  <c r="F168" i="235"/>
  <c r="L153" i="235"/>
  <c r="J143" i="235"/>
  <c r="G143" i="235"/>
  <c r="L134" i="235"/>
  <c r="I134" i="235"/>
  <c r="M122" i="235"/>
  <c r="F76" i="235"/>
  <c r="D92" i="253" s="1"/>
  <c r="M42" i="123"/>
  <c r="I42" i="123"/>
  <c r="E42" i="123"/>
  <c r="G32" i="142"/>
  <c r="F31" i="136"/>
  <c r="F54" i="136" s="1"/>
  <c r="K50" i="249"/>
  <c r="K52" i="249" s="1"/>
  <c r="C50" i="249"/>
  <c r="C52" i="249" s="1"/>
  <c r="H49" i="316"/>
  <c r="H60" i="316" s="1"/>
  <c r="K25" i="316"/>
  <c r="C25" i="316"/>
  <c r="J25" i="316"/>
  <c r="F25" i="316"/>
  <c r="G34" i="305"/>
  <c r="C57" i="145"/>
  <c r="I55" i="145"/>
  <c r="K52" i="95"/>
  <c r="K63" i="95"/>
  <c r="H20" i="301"/>
  <c r="D20" i="301"/>
  <c r="H25" i="316"/>
  <c r="K65" i="305"/>
  <c r="K88" i="255" s="1"/>
  <c r="E34" i="305"/>
  <c r="E66" i="305" s="1"/>
  <c r="G25" i="300"/>
  <c r="F44" i="139"/>
  <c r="K6" i="134"/>
  <c r="K77" i="134" s="1"/>
  <c r="H6" i="358"/>
  <c r="H77" i="358" s="1"/>
  <c r="H97" i="358" s="1"/>
  <c r="H54" i="294"/>
  <c r="E65" i="305"/>
  <c r="E88" i="255" s="1"/>
  <c r="K34" i="305"/>
  <c r="C34" i="305"/>
  <c r="J34" i="305"/>
  <c r="F34" i="305"/>
  <c r="D82" i="146"/>
  <c r="I66" i="146"/>
  <c r="J25" i="300"/>
  <c r="K44" i="139"/>
  <c r="O30" i="139"/>
  <c r="K6" i="350"/>
  <c r="K77" i="350"/>
  <c r="N11" i="299"/>
  <c r="E41" i="123"/>
  <c r="E44" i="123"/>
  <c r="H39" i="123"/>
  <c r="H7" i="339"/>
  <c r="A29" i="248"/>
  <c r="A78" i="248"/>
  <c r="A60" i="248"/>
  <c r="Q38" i="140"/>
  <c r="F41" i="123"/>
  <c r="G41" i="123"/>
  <c r="I39" i="123"/>
  <c r="G44" i="123"/>
  <c r="G43" i="123"/>
  <c r="G11" i="123" s="1"/>
  <c r="G103" i="123" s="1"/>
  <c r="H6" i="339"/>
  <c r="A77" i="248"/>
  <c r="A59" i="248"/>
  <c r="A28" i="248"/>
  <c r="K39" i="123"/>
  <c r="D42" i="133"/>
  <c r="E22" i="127"/>
  <c r="E19" i="88" s="1"/>
  <c r="J41" i="123"/>
  <c r="K26" i="248"/>
  <c r="K20" i="248"/>
  <c r="J26" i="248"/>
  <c r="J20" i="248"/>
  <c r="D26" i="248"/>
  <c r="D20" i="248"/>
  <c r="L14" i="123"/>
  <c r="L42" i="123"/>
  <c r="J42" i="123"/>
  <c r="H42" i="123"/>
  <c r="F42" i="123"/>
  <c r="M74" i="338"/>
  <c r="H74" i="338"/>
  <c r="H26" i="338"/>
  <c r="F17" i="338"/>
  <c r="G60" i="127"/>
  <c r="I49" i="141" s="1"/>
  <c r="D2" i="233"/>
  <c r="E2" i="361"/>
  <c r="F2" i="141"/>
  <c r="D2" i="146"/>
  <c r="D2" i="358"/>
  <c r="F2" i="315"/>
  <c r="D2" i="133"/>
  <c r="S3" i="342"/>
  <c r="Q20" i="299"/>
  <c r="D14" i="294"/>
  <c r="A12" i="299"/>
  <c r="A30" i="299" s="1"/>
  <c r="A17" i="294"/>
  <c r="A36" i="294" s="1"/>
  <c r="P18" i="140"/>
  <c r="P12" i="140"/>
  <c r="L3" i="255"/>
  <c r="L3" i="129"/>
  <c r="K3" i="86"/>
  <c r="J20" i="233"/>
  <c r="E36" i="131"/>
  <c r="F67" i="338" s="1"/>
  <c r="D48" i="131"/>
  <c r="G55" i="123"/>
  <c r="I55" i="123"/>
  <c r="E35" i="237"/>
  <c r="G74" i="338"/>
  <c r="F18" i="88"/>
  <c r="D9" i="86"/>
  <c r="E33" i="337"/>
  <c r="R36" i="246"/>
  <c r="E38" i="246"/>
  <c r="E42" i="246" s="1"/>
  <c r="C38" i="246"/>
  <c r="C42" i="246" s="1"/>
  <c r="R22" i="246"/>
  <c r="E52" i="351"/>
  <c r="E19" i="133"/>
  <c r="H3" i="294"/>
  <c r="O3" i="127"/>
  <c r="N2" i="139"/>
  <c r="A38" i="126"/>
  <c r="A37" i="140" s="1"/>
  <c r="D16" i="294"/>
  <c r="P16" i="140"/>
  <c r="A15" i="299"/>
  <c r="A33" i="299" s="1"/>
  <c r="M2" i="246"/>
  <c r="A294" i="342"/>
  <c r="A34" i="233"/>
  <c r="A16" i="233"/>
  <c r="A7" i="294"/>
  <c r="A26" i="294" s="1"/>
  <c r="A7" i="140"/>
  <c r="A26" i="126"/>
  <c r="A25" i="140"/>
  <c r="F70" i="338"/>
  <c r="D2" i="362"/>
  <c r="C2" i="147"/>
  <c r="C2" i="126"/>
  <c r="C2" i="337"/>
  <c r="C2" i="342"/>
  <c r="C2" i="248"/>
  <c r="C2" i="301"/>
  <c r="E155" i="235"/>
  <c r="C2" i="128"/>
  <c r="E2" i="314"/>
  <c r="D2" i="123"/>
  <c r="C78" i="147"/>
  <c r="H2" i="362"/>
  <c r="I2" i="350"/>
  <c r="I2" i="316"/>
  <c r="J2" i="129"/>
  <c r="J2" i="305"/>
  <c r="J2" i="343"/>
  <c r="K201" i="235"/>
  <c r="I2" i="342"/>
  <c r="K2" i="314"/>
  <c r="I2" i="142"/>
  <c r="I2" i="133"/>
  <c r="J2" i="128"/>
  <c r="I2" i="336"/>
  <c r="I2" i="351"/>
  <c r="I2" i="233"/>
  <c r="K2" i="141"/>
  <c r="I2" i="136"/>
  <c r="H2" i="361"/>
  <c r="I2" i="349"/>
  <c r="D86" i="123"/>
  <c r="D130" i="123"/>
  <c r="H40" i="123"/>
  <c r="I40" i="123"/>
  <c r="H8" i="339"/>
  <c r="A30" i="248"/>
  <c r="A79" i="248"/>
  <c r="A61" i="248"/>
  <c r="I41" i="123"/>
  <c r="E39" i="123"/>
  <c r="I54" i="86"/>
  <c r="H54" i="86"/>
  <c r="E39" i="86"/>
  <c r="A76" i="248"/>
  <c r="A58" i="248"/>
  <c r="H5" i="339"/>
  <c r="A27" i="248"/>
  <c r="G42" i="338"/>
  <c r="G65" i="248"/>
  <c r="K40" i="248"/>
  <c r="K41" i="248" s="1"/>
  <c r="K49" i="248" s="1"/>
  <c r="A24" i="255"/>
  <c r="A19" i="255"/>
  <c r="A14" i="255"/>
  <c r="F6" i="358"/>
  <c r="F77" i="358"/>
  <c r="F97" i="358" s="1"/>
  <c r="C6" i="349"/>
  <c r="C77" i="349" s="1"/>
  <c r="D6" i="350"/>
  <c r="D77" i="350" s="1"/>
  <c r="F6" i="134"/>
  <c r="F77" i="134" s="1"/>
  <c r="D6" i="134"/>
  <c r="D77" i="134" s="1"/>
  <c r="D97" i="134" s="1"/>
  <c r="C6" i="134"/>
  <c r="C77" i="134" s="1"/>
  <c r="C97" i="134" s="1"/>
  <c r="I340" i="343"/>
  <c r="I341" i="343" s="1"/>
  <c r="E340" i="343"/>
  <c r="E341" i="343" s="1"/>
  <c r="L340" i="343"/>
  <c r="D340" i="343"/>
  <c r="D341" i="343" s="1"/>
  <c r="F340" i="343"/>
  <c r="F341" i="343"/>
  <c r="J340" i="343"/>
  <c r="H340" i="343"/>
  <c r="L160" i="343"/>
  <c r="L20" i="126"/>
  <c r="U160" i="343"/>
  <c r="L149" i="343"/>
  <c r="L19" i="126" s="1"/>
  <c r="U149" i="343"/>
  <c r="U138" i="343"/>
  <c r="L138" i="343"/>
  <c r="L18" i="126"/>
  <c r="Q17" i="140" s="1"/>
  <c r="L127" i="343"/>
  <c r="L17" i="126" s="1"/>
  <c r="O171" i="343"/>
  <c r="H171" i="343"/>
  <c r="U116" i="343"/>
  <c r="L116" i="343"/>
  <c r="L16" i="126" s="1"/>
  <c r="D171" i="343"/>
  <c r="L105" i="343"/>
  <c r="L15" i="126" s="1"/>
  <c r="L94" i="343"/>
  <c r="L14" i="126" s="1"/>
  <c r="S171" i="343"/>
  <c r="L83" i="343"/>
  <c r="L13" i="126" s="1"/>
  <c r="F171" i="343"/>
  <c r="U72" i="343"/>
  <c r="L72" i="343"/>
  <c r="L12" i="126"/>
  <c r="Q11" i="140" s="1"/>
  <c r="U61" i="343"/>
  <c r="L61" i="343"/>
  <c r="U39" i="343"/>
  <c r="F338" i="342"/>
  <c r="D338" i="342"/>
  <c r="F48" i="131"/>
  <c r="F36" i="131"/>
  <c r="G67" i="338" s="1"/>
  <c r="D36" i="131"/>
  <c r="E67" i="338" s="1"/>
  <c r="D121" i="351"/>
  <c r="D140" i="351"/>
  <c r="C52" i="351"/>
  <c r="C71" i="351"/>
  <c r="M67" i="338"/>
  <c r="K67" i="338"/>
  <c r="J38" i="131"/>
  <c r="H49" i="131"/>
  <c r="H38" i="131"/>
  <c r="K71" i="351"/>
  <c r="I66" i="305"/>
  <c r="I87" i="255"/>
  <c r="I89" i="255" s="1"/>
  <c r="I33" i="127" s="1"/>
  <c r="F32" i="86"/>
  <c r="J32" i="86"/>
  <c r="H32" i="86"/>
  <c r="B32" i="86"/>
  <c r="D108" i="123" s="1"/>
  <c r="F42" i="133"/>
  <c r="F32" i="133"/>
  <c r="D32" i="133"/>
  <c r="C28" i="133"/>
  <c r="C48" i="133"/>
  <c r="F9" i="133"/>
  <c r="D9" i="133"/>
  <c r="D25" i="133" s="1"/>
  <c r="D57" i="133" s="1"/>
  <c r="L22" i="127"/>
  <c r="J22" i="127"/>
  <c r="I21" i="126"/>
  <c r="I40" i="126" s="1"/>
  <c r="I85" i="126" s="1"/>
  <c r="H21" i="126"/>
  <c r="H40" i="126" s="1"/>
  <c r="H97" i="134" s="1"/>
  <c r="G21" i="126"/>
  <c r="G40" i="126" s="1"/>
  <c r="F21" i="126"/>
  <c r="F40" i="126" s="1"/>
  <c r="E21" i="126"/>
  <c r="D21" i="126"/>
  <c r="C21" i="126"/>
  <c r="K75" i="248"/>
  <c r="K69" i="248"/>
  <c r="I75" i="248"/>
  <c r="I69" i="248"/>
  <c r="I80" i="248" s="1"/>
  <c r="G75" i="248"/>
  <c r="G69" i="248" s="1"/>
  <c r="E75" i="248"/>
  <c r="E69" i="248" s="1"/>
  <c r="C75" i="248"/>
  <c r="C69" i="248" s="1"/>
  <c r="F65" i="248"/>
  <c r="E53" i="86" s="1"/>
  <c r="E65" i="248"/>
  <c r="J65" i="248"/>
  <c r="J53" i="86" s="1"/>
  <c r="D65" i="248"/>
  <c r="K65" i="248"/>
  <c r="K95" i="248" s="1"/>
  <c r="I65" i="248"/>
  <c r="I95" i="248"/>
  <c r="H65" i="248"/>
  <c r="C65" i="248"/>
  <c r="C95" i="248" s="1"/>
  <c r="G26" i="248"/>
  <c r="G20" i="248" s="1"/>
  <c r="F11" i="248"/>
  <c r="F5" i="248" s="1"/>
  <c r="D11" i="248"/>
  <c r="D5" i="248" s="1"/>
  <c r="K11" i="248"/>
  <c r="K5" i="248" s="1"/>
  <c r="C11" i="248"/>
  <c r="C5" i="248" s="1"/>
  <c r="J11" i="248"/>
  <c r="J5" i="248" s="1"/>
  <c r="H11" i="248"/>
  <c r="H5" i="248" s="1"/>
  <c r="J54" i="348"/>
  <c r="G54" i="136"/>
  <c r="H53" i="136"/>
  <c r="H54" i="136" s="1"/>
  <c r="K53" i="136"/>
  <c r="K54" i="136" s="1"/>
  <c r="D53" i="136"/>
  <c r="E31" i="136"/>
  <c r="E54" i="136"/>
  <c r="H26" i="248"/>
  <c r="H20" i="248"/>
  <c r="I42" i="133"/>
  <c r="I83" i="248"/>
  <c r="I2" i="139"/>
  <c r="D2" i="342"/>
  <c r="D2" i="88"/>
  <c r="I3" i="133"/>
  <c r="R3" i="233"/>
  <c r="J69" i="248"/>
  <c r="F60" i="127"/>
  <c r="D2" i="253"/>
  <c r="C2" i="86"/>
  <c r="G9" i="86"/>
  <c r="G10" i="86" s="1"/>
  <c r="I14" i="88"/>
  <c r="E9" i="294"/>
  <c r="H10" i="86"/>
  <c r="J86" i="123"/>
  <c r="J130" i="123" s="1"/>
  <c r="K58" i="338"/>
  <c r="K80" i="338"/>
  <c r="E110" i="123"/>
  <c r="C31" i="88"/>
  <c r="E2" i="123"/>
  <c r="K3" i="314"/>
  <c r="I3" i="142"/>
  <c r="K3" i="123"/>
  <c r="S3" i="127"/>
  <c r="F109" i="235"/>
  <c r="E340" i="342"/>
  <c r="F25" i="129"/>
  <c r="F42" i="129"/>
  <c r="F55" i="129" s="1"/>
  <c r="K26" i="338"/>
  <c r="K23" i="338" s="1"/>
  <c r="J54" i="136"/>
  <c r="N15" i="300"/>
  <c r="D20" i="137"/>
  <c r="C20" i="137"/>
  <c r="O25" i="137"/>
  <c r="C25" i="137" s="1"/>
  <c r="N25" i="137" s="1"/>
  <c r="E3" i="338"/>
  <c r="I3" i="146"/>
  <c r="K156" i="235"/>
  <c r="J3" i="237"/>
  <c r="J3" i="255"/>
  <c r="A3" i="360"/>
  <c r="I3" i="248"/>
  <c r="D2" i="351"/>
  <c r="H93" i="253"/>
  <c r="H2" i="235"/>
  <c r="K94" i="253"/>
  <c r="C93" i="253"/>
  <c r="K93" i="253"/>
  <c r="K3" i="296"/>
  <c r="I3" i="86"/>
  <c r="O3" i="300"/>
  <c r="M2" i="256"/>
  <c r="J2" i="88"/>
  <c r="C2" i="294"/>
  <c r="J2" i="237"/>
  <c r="J2" i="127"/>
  <c r="I2" i="248"/>
  <c r="I2" i="144"/>
  <c r="M3" i="342"/>
  <c r="M3" i="233"/>
  <c r="D2" i="142"/>
  <c r="D2" i="349"/>
  <c r="M3" i="127"/>
  <c r="I3" i="350"/>
  <c r="W3" i="342"/>
  <c r="C3" i="294"/>
  <c r="E87" i="255"/>
  <c r="I55" i="86"/>
  <c r="K114" i="123" s="1"/>
  <c r="A14" i="140"/>
  <c r="D2" i="136"/>
  <c r="D2" i="343"/>
  <c r="D78" i="147"/>
  <c r="I92" i="253"/>
  <c r="J52" i="249"/>
  <c r="F140" i="351"/>
  <c r="J5" i="133"/>
  <c r="C38" i="131"/>
  <c r="D37" i="131" s="1"/>
  <c r="D2" i="337"/>
  <c r="D2" i="301"/>
  <c r="K94" i="123"/>
  <c r="L42" i="129"/>
  <c r="L55" i="129" s="1"/>
  <c r="J3" i="128"/>
  <c r="I3" i="351"/>
  <c r="K3" i="315"/>
  <c r="J3" i="343"/>
  <c r="D2" i="248"/>
  <c r="D103" i="146"/>
  <c r="J140" i="351"/>
  <c r="H20" i="137"/>
  <c r="K20" i="137"/>
  <c r="I3" i="134"/>
  <c r="J3" i="131"/>
  <c r="K64" i="235"/>
  <c r="I3" i="316"/>
  <c r="J3" i="129"/>
  <c r="K4" i="338"/>
  <c r="D2" i="131"/>
  <c r="O3" i="140"/>
  <c r="C2" i="137"/>
  <c r="I3" i="147"/>
  <c r="K171" i="343"/>
  <c r="E2" i="139"/>
  <c r="I2" i="358"/>
  <c r="K155" i="235"/>
  <c r="K3" i="338"/>
  <c r="J2" i="131"/>
  <c r="I2" i="134"/>
  <c r="I2" i="337"/>
  <c r="E2" i="362"/>
  <c r="H2" i="139"/>
  <c r="I3" i="144"/>
  <c r="I3" i="233"/>
  <c r="N3" i="95"/>
  <c r="K202" i="235"/>
  <c r="F49" i="131"/>
  <c r="G49" i="131"/>
  <c r="K86" i="350"/>
  <c r="L23" i="140"/>
  <c r="J23" i="140"/>
  <c r="J38" i="140" s="1"/>
  <c r="J39" i="140" s="1"/>
  <c r="H23" i="140"/>
  <c r="F23" i="140"/>
  <c r="F38" i="140" s="1"/>
  <c r="F39" i="140" s="1"/>
  <c r="D23" i="140"/>
  <c r="M23" i="140"/>
  <c r="M38" i="140" s="1"/>
  <c r="M39" i="140" s="1"/>
  <c r="K23" i="140"/>
  <c r="I23" i="140"/>
  <c r="I38" i="140" s="1"/>
  <c r="I39" i="140" s="1"/>
  <c r="G23" i="140"/>
  <c r="E23" i="140"/>
  <c r="E38" i="140" s="1"/>
  <c r="E39" i="140" s="1"/>
  <c r="C23" i="140"/>
  <c r="C38" i="140"/>
  <c r="C39" i="140" s="1"/>
  <c r="K341" i="343"/>
  <c r="C54" i="136"/>
  <c r="N27" i="137"/>
  <c r="B53" i="86"/>
  <c r="D95" i="248"/>
  <c r="M17" i="123"/>
  <c r="H38" i="86"/>
  <c r="H39" i="86"/>
  <c r="G54" i="86"/>
  <c r="K54" i="86"/>
  <c r="F11" i="86"/>
  <c r="K97" i="123"/>
  <c r="I13" i="88"/>
  <c r="L15" i="88"/>
  <c r="I35" i="86"/>
  <c r="E38" i="86"/>
  <c r="E35" i="86"/>
  <c r="F35" i="86"/>
  <c r="F54" i="86"/>
  <c r="C38" i="86"/>
  <c r="H95" i="248"/>
  <c r="J95" i="248"/>
  <c r="J17" i="123"/>
  <c r="G95" i="248"/>
  <c r="C54" i="86"/>
  <c r="H25" i="129"/>
  <c r="J54" i="86"/>
  <c r="I38" i="86"/>
  <c r="D54" i="86"/>
  <c r="C37" i="86"/>
  <c r="G37" i="86"/>
  <c r="G38" i="86"/>
  <c r="B38" i="86"/>
  <c r="K38" i="86"/>
  <c r="N8" i="298"/>
  <c r="N9" i="300"/>
  <c r="F95" i="248"/>
  <c r="G39" i="123"/>
  <c r="I25" i="300"/>
  <c r="E70" i="338"/>
  <c r="E26" i="338"/>
  <c r="E23" i="338"/>
  <c r="E7" i="294"/>
  <c r="D44" i="123"/>
  <c r="D41" i="248"/>
  <c r="E83" i="248"/>
  <c r="K37" i="86"/>
  <c r="K5" i="137"/>
  <c r="J5" i="137"/>
  <c r="D5" i="137"/>
  <c r="L5" i="137"/>
  <c r="C5" i="137"/>
  <c r="E5" i="137"/>
  <c r="N5" i="137"/>
  <c r="D10" i="137"/>
  <c r="K44" i="123"/>
  <c r="K41" i="123"/>
  <c r="E10" i="137"/>
  <c r="M10" i="137"/>
  <c r="L41" i="123"/>
  <c r="L10" i="137"/>
  <c r="I9" i="338"/>
  <c r="I8" i="338" s="1"/>
  <c r="I100" i="349"/>
  <c r="I85" i="349"/>
  <c r="H36" i="237"/>
  <c r="H29" i="237"/>
  <c r="H32" i="237" s="1"/>
  <c r="H14" i="237" s="1"/>
  <c r="I116" i="123"/>
  <c r="A16" i="140"/>
  <c r="H19" i="88"/>
  <c r="K162" i="255"/>
  <c r="A35" i="126"/>
  <c r="A34" i="140" s="1"/>
  <c r="C35" i="88"/>
  <c r="A14" i="294"/>
  <c r="A33" i="294" s="1"/>
  <c r="F58" i="123"/>
  <c r="K105" i="256"/>
  <c r="M41" i="123"/>
  <c r="G108" i="123"/>
  <c r="I25" i="129"/>
  <c r="D40" i="129"/>
  <c r="G32" i="86"/>
  <c r="I109" i="123" s="1"/>
  <c r="J85" i="349"/>
  <c r="L44" i="123"/>
  <c r="L36" i="123"/>
  <c r="L9" i="123" s="1"/>
  <c r="D340" i="342"/>
  <c r="C140" i="351"/>
  <c r="I97" i="123"/>
  <c r="K9" i="126"/>
  <c r="E100" i="349"/>
  <c r="E140" i="351"/>
  <c r="A263" i="343"/>
  <c r="H40" i="129"/>
  <c r="J25" i="129"/>
  <c r="L13" i="88"/>
  <c r="D32" i="86"/>
  <c r="F110" i="123"/>
  <c r="N6" i="299"/>
  <c r="N37" i="298"/>
  <c r="H10" i="137"/>
  <c r="I10" i="137"/>
  <c r="N10" i="137" s="1"/>
  <c r="A1" i="351"/>
  <c r="E52" i="316"/>
  <c r="E59" i="316"/>
  <c r="H87" i="255"/>
  <c r="H66" i="305"/>
  <c r="C11" i="86"/>
  <c r="E97" i="123" s="1"/>
  <c r="D44" i="88"/>
  <c r="A261" i="342"/>
  <c r="A31" i="233" s="1"/>
  <c r="A13" i="233"/>
  <c r="A13" i="299" s="1"/>
  <c r="C4" i="355"/>
  <c r="B8" i="355"/>
  <c r="A239" i="342"/>
  <c r="A29" i="233"/>
  <c r="A11" i="233"/>
  <c r="K56" i="338"/>
  <c r="K54" i="338" s="1"/>
  <c r="K53" i="338" s="1"/>
  <c r="J56" i="338"/>
  <c r="J54" i="338"/>
  <c r="J53" i="338" s="1"/>
  <c r="I95" i="253"/>
  <c r="P22" i="137"/>
  <c r="A1" i="126"/>
  <c r="H67" i="338"/>
  <c r="D15" i="88"/>
  <c r="K71" i="338"/>
  <c r="K9" i="338"/>
  <c r="K8" i="338" s="1"/>
  <c r="D25" i="300"/>
  <c r="N14" i="137"/>
  <c r="N18" i="137"/>
  <c r="N8" i="299"/>
  <c r="N13" i="298"/>
  <c r="F53" i="86"/>
  <c r="D40" i="126"/>
  <c r="D85" i="126" s="1"/>
  <c r="D54" i="136"/>
  <c r="J93" i="253"/>
  <c r="G86" i="350"/>
  <c r="Q171" i="343"/>
  <c r="C341" i="343"/>
  <c r="E85" i="349"/>
  <c r="C340" i="342"/>
  <c r="J162" i="255"/>
  <c r="J86" i="350"/>
  <c r="G52" i="316"/>
  <c r="N12" i="137"/>
  <c r="N16" i="137"/>
  <c r="N29" i="137"/>
  <c r="N45" i="298"/>
  <c r="N23" i="298"/>
  <c r="J10" i="137"/>
  <c r="J22" i="137" s="1"/>
  <c r="L26" i="338"/>
  <c r="L23" i="338"/>
  <c r="L70" i="338"/>
  <c r="C2" i="246"/>
  <c r="A5" i="299"/>
  <c r="A23" i="299"/>
  <c r="E11" i="248"/>
  <c r="E5" i="248"/>
  <c r="Q6" i="140"/>
  <c r="E40" i="126"/>
  <c r="I11" i="248"/>
  <c r="I5" i="248"/>
  <c r="F116" i="123"/>
  <c r="D60" i="127"/>
  <c r="D346" i="342" s="1"/>
  <c r="D35" i="88"/>
  <c r="N5" i="300"/>
  <c r="C53" i="86"/>
  <c r="N24" i="300"/>
  <c r="N11" i="137"/>
  <c r="N13" i="137"/>
  <c r="N15" i="137"/>
  <c r="N17" i="137"/>
  <c r="N19" i="137"/>
  <c r="N22" i="298"/>
  <c r="N14" i="298"/>
  <c r="N7" i="298"/>
  <c r="N12" i="298"/>
  <c r="N34" i="298"/>
  <c r="N36" i="298"/>
  <c r="N32" i="137"/>
  <c r="N6" i="137"/>
  <c r="F20" i="299"/>
  <c r="J20" i="299"/>
  <c r="G20" i="299"/>
  <c r="K20" i="299"/>
  <c r="N31" i="137"/>
  <c r="N8" i="137"/>
  <c r="G9" i="137"/>
  <c r="M30" i="137"/>
  <c r="K30" i="137"/>
  <c r="I30" i="137"/>
  <c r="G30" i="137"/>
  <c r="E30" i="137"/>
  <c r="C30" i="137"/>
  <c r="L30" i="137"/>
  <c r="J30" i="137"/>
  <c r="H30" i="137"/>
  <c r="F30" i="137"/>
  <c r="D30" i="137"/>
  <c r="J7" i="137"/>
  <c r="D7" i="137"/>
  <c r="J21" i="298"/>
  <c r="F21" i="298"/>
  <c r="K21" i="298"/>
  <c r="G21" i="298"/>
  <c r="C21" i="298"/>
  <c r="K23" i="299"/>
  <c r="I23" i="299"/>
  <c r="G23" i="299"/>
  <c r="E23" i="299"/>
  <c r="C23" i="299"/>
  <c r="L23" i="299"/>
  <c r="J23" i="299"/>
  <c r="H23" i="299"/>
  <c r="F23" i="299"/>
  <c r="D23" i="299"/>
  <c r="N23" i="299" s="1"/>
  <c r="K20" i="298"/>
  <c r="K19" i="298" s="1"/>
  <c r="I20" i="298"/>
  <c r="G20" i="298"/>
  <c r="G19" i="298" s="1"/>
  <c r="E20" i="298"/>
  <c r="C20" i="298"/>
  <c r="C19" i="298" s="1"/>
  <c r="L20" i="298"/>
  <c r="J20" i="298"/>
  <c r="J19" i="298" s="1"/>
  <c r="H20" i="298"/>
  <c r="F20" i="298"/>
  <c r="F19" i="298" s="1"/>
  <c r="D20" i="298"/>
  <c r="L40" i="298"/>
  <c r="J40" i="298"/>
  <c r="H40" i="298"/>
  <c r="F40" i="298"/>
  <c r="D40" i="298"/>
  <c r="N40" i="298" s="1"/>
  <c r="K40" i="298"/>
  <c r="I40" i="298"/>
  <c r="G40" i="298"/>
  <c r="E40" i="298"/>
  <c r="C40" i="298"/>
  <c r="N5" i="299"/>
  <c r="C20" i="299"/>
  <c r="G53" i="86"/>
  <c r="I56" i="86"/>
  <c r="G11" i="248"/>
  <c r="G5" i="248"/>
  <c r="C26" i="248"/>
  <c r="C20" i="248"/>
  <c r="C83" i="248" s="1"/>
  <c r="D10" i="86"/>
  <c r="E8" i="88"/>
  <c r="H43" i="123"/>
  <c r="H11" i="123"/>
  <c r="H103" i="123" s="1"/>
  <c r="J43" i="123"/>
  <c r="J11" i="123" s="1"/>
  <c r="J103" i="123" s="1"/>
  <c r="I38" i="123"/>
  <c r="N13" i="300"/>
  <c r="K25" i="300"/>
  <c r="N39" i="298"/>
  <c r="L26" i="299"/>
  <c r="J26" i="299"/>
  <c r="H26" i="299"/>
  <c r="F26" i="299"/>
  <c r="D26" i="299"/>
  <c r="K26" i="299"/>
  <c r="I26" i="299"/>
  <c r="G26" i="299"/>
  <c r="E26" i="299"/>
  <c r="C26" i="299"/>
  <c r="M28" i="137"/>
  <c r="K28" i="137"/>
  <c r="I28" i="137"/>
  <c r="G28" i="137"/>
  <c r="E28" i="137"/>
  <c r="C28" i="137"/>
  <c r="L28" i="137"/>
  <c r="J28" i="137"/>
  <c r="H28" i="137"/>
  <c r="F28" i="137"/>
  <c r="D28" i="137"/>
  <c r="F25" i="300"/>
  <c r="C25" i="300"/>
  <c r="N7" i="300"/>
  <c r="L25" i="300"/>
  <c r="N17" i="300"/>
  <c r="D20" i="299"/>
  <c r="H20" i="299"/>
  <c r="L20" i="299"/>
  <c r="E20" i="299"/>
  <c r="I20" i="299"/>
  <c r="N33" i="298"/>
  <c r="N10" i="298"/>
  <c r="N26" i="137"/>
  <c r="J102" i="146"/>
  <c r="J49" i="146"/>
  <c r="K49" i="146"/>
  <c r="I47" i="337"/>
  <c r="K48" i="337"/>
  <c r="J48" i="337"/>
  <c r="N64" i="95"/>
  <c r="D59" i="316"/>
  <c r="D52" i="316"/>
  <c r="K140" i="351"/>
  <c r="K141" i="351"/>
  <c r="K49" i="131"/>
  <c r="J26" i="338"/>
  <c r="J23" i="338" s="1"/>
  <c r="J70" i="338"/>
  <c r="J71" i="338" s="1"/>
  <c r="J9" i="338" s="1"/>
  <c r="H341" i="343"/>
  <c r="I140" i="351"/>
  <c r="I141" i="351"/>
  <c r="J71" i="351"/>
  <c r="K84" i="248"/>
  <c r="M101" i="123" s="1"/>
  <c r="E60" i="127"/>
  <c r="E36" i="123"/>
  <c r="E9" i="123" s="1"/>
  <c r="H49" i="248"/>
  <c r="H85" i="350" s="1"/>
  <c r="F37" i="338"/>
  <c r="F58" i="338" s="1"/>
  <c r="F80" i="338" s="1"/>
  <c r="G37" i="123"/>
  <c r="I37" i="86"/>
  <c r="J14" i="88"/>
  <c r="J15" i="88"/>
  <c r="J13" i="88"/>
  <c r="D13" i="88"/>
  <c r="C35" i="86"/>
  <c r="D14" i="88"/>
  <c r="F37" i="86"/>
  <c r="G13" i="88"/>
  <c r="G14" i="88"/>
  <c r="G15" i="88"/>
  <c r="E108" i="123"/>
  <c r="E109" i="123"/>
  <c r="F94" i="123"/>
  <c r="G35" i="86"/>
  <c r="H13" i="88"/>
  <c r="H14" i="88"/>
  <c r="M108" i="123"/>
  <c r="M109" i="123"/>
  <c r="M110" i="123"/>
  <c r="J32" i="88"/>
  <c r="F41" i="248"/>
  <c r="F49" i="248"/>
  <c r="G94" i="123"/>
  <c r="K38" i="123"/>
  <c r="K25" i="133"/>
  <c r="I40" i="129"/>
  <c r="G35" i="314"/>
  <c r="E71" i="351"/>
  <c r="E141" i="351"/>
  <c r="J84" i="248"/>
  <c r="L101" i="123" s="1"/>
  <c r="L17" i="123"/>
  <c r="K87" i="255"/>
  <c r="K89" i="255" s="1"/>
  <c r="K33" i="127" s="1"/>
  <c r="J16" i="86" s="1"/>
  <c r="K66" i="305"/>
  <c r="I57" i="145"/>
  <c r="L88" i="255"/>
  <c r="L66" i="305"/>
  <c r="H49" i="146"/>
  <c r="G102" i="146"/>
  <c r="G49" i="146"/>
  <c r="C36" i="237"/>
  <c r="C29" i="237"/>
  <c r="C32" i="237" s="1"/>
  <c r="C14" i="237" s="1"/>
  <c r="C18" i="237" s="1"/>
  <c r="A252" i="343"/>
  <c r="E11" i="86"/>
  <c r="F30" i="88"/>
  <c r="F39" i="233"/>
  <c r="A18" i="233"/>
  <c r="A18" i="299" s="1"/>
  <c r="A316" i="342"/>
  <c r="A36" i="233"/>
  <c r="I32" i="337"/>
  <c r="H86" i="123"/>
  <c r="H130" i="123" s="1"/>
  <c r="H127" i="123"/>
  <c r="D49" i="248"/>
  <c r="D82" i="248" s="1"/>
  <c r="E102" i="146"/>
  <c r="E49" i="146"/>
  <c r="F49" i="146"/>
  <c r="M42" i="338"/>
  <c r="K40" i="129"/>
  <c r="K15" i="88"/>
  <c r="J37" i="86"/>
  <c r="P25" i="137"/>
  <c r="J11" i="86"/>
  <c r="J67" i="338"/>
  <c r="I38" i="131"/>
  <c r="J48" i="133"/>
  <c r="P28" i="298"/>
  <c r="P48" i="298" s="1"/>
  <c r="P16" i="298"/>
  <c r="J15" i="133"/>
  <c r="P15" i="298"/>
  <c r="K53" i="86"/>
  <c r="J77" i="348"/>
  <c r="K80" i="248"/>
  <c r="Q5" i="298"/>
  <c r="Q25" i="298" s="1"/>
  <c r="A19" i="294"/>
  <c r="A38" i="294" s="1"/>
  <c r="E33" i="88"/>
  <c r="E35" i="88"/>
  <c r="E30" i="88"/>
  <c r="D43" i="123"/>
  <c r="D11" i="123"/>
  <c r="D103" i="123" s="1"/>
  <c r="D19" i="88"/>
  <c r="C87" i="255"/>
  <c r="C66" i="305"/>
  <c r="F59" i="316"/>
  <c r="F52" i="316"/>
  <c r="D88" i="255"/>
  <c r="D89" i="255"/>
  <c r="D33" i="127" s="1"/>
  <c r="D66" i="305"/>
  <c r="I93" i="253"/>
  <c r="I59" i="316"/>
  <c r="I52" i="316"/>
  <c r="C40" i="129"/>
  <c r="B37" i="86"/>
  <c r="C15" i="88"/>
  <c r="A9" i="126"/>
  <c r="A208" i="343"/>
  <c r="M37" i="123"/>
  <c r="M44" i="123"/>
  <c r="M43" i="123"/>
  <c r="M11" i="123" s="1"/>
  <c r="M103" i="123" s="1"/>
  <c r="O22" i="137"/>
  <c r="J10" i="86"/>
  <c r="L94" i="123"/>
  <c r="L38" i="123"/>
  <c r="M38" i="123"/>
  <c r="J6" i="126"/>
  <c r="I37" i="338"/>
  <c r="I58" i="338" s="1"/>
  <c r="I80" i="338" s="1"/>
  <c r="A1" i="233"/>
  <c r="A1" i="342"/>
  <c r="A217" i="342"/>
  <c r="A27" i="233" s="1"/>
  <c r="A9" i="233"/>
  <c r="L43" i="123"/>
  <c r="L11" i="123"/>
  <c r="L103" i="123" s="1"/>
  <c r="J37" i="123"/>
  <c r="A318" i="343"/>
  <c r="A19" i="126"/>
  <c r="A18" i="294" s="1"/>
  <c r="F113" i="123"/>
  <c r="F114" i="123"/>
  <c r="O35" i="298"/>
  <c r="I32" i="133"/>
  <c r="O32" i="298" s="1"/>
  <c r="G110" i="123"/>
  <c r="K110" i="123"/>
  <c r="O9" i="299"/>
  <c r="N9" i="299" s="1"/>
  <c r="I20" i="233"/>
  <c r="I28" i="133"/>
  <c r="O28" i="298" s="1"/>
  <c r="O29" i="298"/>
  <c r="G29" i="298" s="1"/>
  <c r="J59" i="316"/>
  <c r="J52" i="316"/>
  <c r="A206" i="342"/>
  <c r="A26" i="233"/>
  <c r="A10" i="126"/>
  <c r="A219" i="343"/>
  <c r="D8" i="294"/>
  <c r="I42" i="129"/>
  <c r="I55" i="129" s="1"/>
  <c r="H53" i="86"/>
  <c r="E10" i="86"/>
  <c r="G86" i="123"/>
  <c r="G130" i="123" s="1"/>
  <c r="F71" i="338"/>
  <c r="F72" i="338"/>
  <c r="F13" i="338" s="1"/>
  <c r="J44" i="123"/>
  <c r="D31" i="88"/>
  <c r="D30" i="88"/>
  <c r="F87" i="255"/>
  <c r="F89" i="255" s="1"/>
  <c r="F33" i="127" s="1"/>
  <c r="F36" i="127" s="1"/>
  <c r="F66" i="305"/>
  <c r="H52" i="316"/>
  <c r="H59" i="316"/>
  <c r="C59" i="316"/>
  <c r="C52" i="316"/>
  <c r="I41" i="248"/>
  <c r="I49" i="248" s="1"/>
  <c r="O16" i="298"/>
  <c r="I15" i="133"/>
  <c r="O15" i="298" s="1"/>
  <c r="I94" i="123"/>
  <c r="Q32" i="298"/>
  <c r="K48" i="133"/>
  <c r="C33" i="88"/>
  <c r="C30" i="88"/>
  <c r="C19" i="88"/>
  <c r="C60" i="127"/>
  <c r="H94" i="123"/>
  <c r="A32" i="126"/>
  <c r="A31" i="140"/>
  <c r="A13" i="294"/>
  <c r="A32" i="294"/>
  <c r="A13" i="140"/>
  <c r="D48" i="133"/>
  <c r="F340" i="342"/>
  <c r="F45" i="233" s="1"/>
  <c r="U171" i="343"/>
  <c r="C8" i="88"/>
  <c r="F33" i="337"/>
  <c r="G34" i="337"/>
  <c r="H33" i="88"/>
  <c r="K42" i="338"/>
  <c r="D8" i="88"/>
  <c r="J87" i="255"/>
  <c r="J89" i="255" s="1"/>
  <c r="J66" i="305"/>
  <c r="G87" i="255"/>
  <c r="G66" i="305"/>
  <c r="K59" i="316"/>
  <c r="K52" i="316"/>
  <c r="G85" i="349"/>
  <c r="G162" i="255"/>
  <c r="J85" i="350"/>
  <c r="E40" i="129"/>
  <c r="K8" i="88"/>
  <c r="K33" i="88"/>
  <c r="Q23" i="299"/>
  <c r="D5" i="123"/>
  <c r="D38" i="131"/>
  <c r="C23" i="88"/>
  <c r="P23" i="140"/>
  <c r="P38" i="140" s="1"/>
  <c r="K39" i="126"/>
  <c r="E94" i="123"/>
  <c r="C10" i="86"/>
  <c r="K10" i="86"/>
  <c r="M94" i="123"/>
  <c r="G23" i="88"/>
  <c r="F45" i="86"/>
  <c r="H5" i="123"/>
  <c r="G5" i="237"/>
  <c r="G6" i="237"/>
  <c r="G8" i="237" s="1"/>
  <c r="F48" i="86" s="1"/>
  <c r="E25" i="129"/>
  <c r="D35" i="86"/>
  <c r="E13" i="88"/>
  <c r="B35" i="86"/>
  <c r="C14" i="88"/>
  <c r="C13" i="88"/>
  <c r="C25" i="129"/>
  <c r="J35" i="86"/>
  <c r="K13" i="88"/>
  <c r="K25" i="129"/>
  <c r="K42" i="129" s="1"/>
  <c r="K14" i="88"/>
  <c r="D36" i="237"/>
  <c r="D29" i="237" s="1"/>
  <c r="D32" i="237"/>
  <c r="D14" i="237" s="1"/>
  <c r="D18" i="237" s="1"/>
  <c r="C49" i="86" s="1"/>
  <c r="I35" i="88"/>
  <c r="I19" i="88"/>
  <c r="I8" i="88"/>
  <c r="I30" i="88"/>
  <c r="I60" i="127"/>
  <c r="L116" i="123"/>
  <c r="K29" i="237"/>
  <c r="K32" i="237" s="1"/>
  <c r="K14" i="237" s="1"/>
  <c r="O13" i="140"/>
  <c r="N13" i="140" s="1"/>
  <c r="C13" i="294"/>
  <c r="I10" i="86"/>
  <c r="D70" i="338"/>
  <c r="D71" i="338" s="1"/>
  <c r="D9" i="338"/>
  <c r="D8" i="338" s="1"/>
  <c r="D26" i="338"/>
  <c r="D23" i="338" s="1"/>
  <c r="A5" i="294"/>
  <c r="A24" i="294" s="1"/>
  <c r="A5" i="140"/>
  <c r="A24" i="126"/>
  <c r="A23" i="140"/>
  <c r="I19" i="133"/>
  <c r="O19" i="298"/>
  <c r="H70" i="338"/>
  <c r="H23" i="338"/>
  <c r="E58" i="123"/>
  <c r="F48" i="133"/>
  <c r="M70" i="338"/>
  <c r="M26" i="338"/>
  <c r="M23" i="338" s="1"/>
  <c r="E49" i="131"/>
  <c r="G26" i="338"/>
  <c r="G23" i="338"/>
  <c r="G70" i="338"/>
  <c r="G71" i="338"/>
  <c r="E346" i="342"/>
  <c r="G49" i="141"/>
  <c r="E34" i="337"/>
  <c r="R38" i="246"/>
  <c r="R42" i="246" s="1"/>
  <c r="A16" i="299"/>
  <c r="A34" i="299" s="1"/>
  <c r="N2" i="246"/>
  <c r="K113" i="123"/>
  <c r="I53" i="86"/>
  <c r="J56" i="86"/>
  <c r="C162" i="255"/>
  <c r="L11" i="126"/>
  <c r="Q10" i="140" s="1"/>
  <c r="L171" i="343"/>
  <c r="L341" i="343"/>
  <c r="H58" i="123"/>
  <c r="G83" i="248"/>
  <c r="M58" i="123"/>
  <c r="K83" i="248"/>
  <c r="J55" i="86"/>
  <c r="L114" i="123" s="1"/>
  <c r="C32" i="88"/>
  <c r="G32" i="88"/>
  <c r="G52" i="123"/>
  <c r="G13" i="123" s="1"/>
  <c r="G122" i="123" s="1"/>
  <c r="H85" i="126"/>
  <c r="H46" i="88"/>
  <c r="H9" i="88" s="1"/>
  <c r="J35" i="314"/>
  <c r="J33" i="88"/>
  <c r="J30" i="88"/>
  <c r="J8" i="88"/>
  <c r="J35" i="88"/>
  <c r="J19" i="88"/>
  <c r="J60" i="127"/>
  <c r="L30" i="88"/>
  <c r="L35" i="88"/>
  <c r="L31" i="88"/>
  <c r="O42" i="298"/>
  <c r="D109" i="123"/>
  <c r="D110" i="123"/>
  <c r="J108" i="123"/>
  <c r="J110" i="123"/>
  <c r="L108" i="123"/>
  <c r="H108" i="123"/>
  <c r="H110" i="123"/>
  <c r="H109" i="123"/>
  <c r="E89" i="255"/>
  <c r="E33" i="127" s="1"/>
  <c r="E36" i="127" s="1"/>
  <c r="E347" i="342" s="1"/>
  <c r="F141" i="351"/>
  <c r="I5" i="123"/>
  <c r="H23" i="88"/>
  <c r="H5" i="237"/>
  <c r="G45" i="86"/>
  <c r="J23" i="88"/>
  <c r="K37" i="131"/>
  <c r="K38" i="131" s="1"/>
  <c r="I45" i="86"/>
  <c r="K89" i="123"/>
  <c r="K5" i="123"/>
  <c r="J5" i="237"/>
  <c r="I85" i="248"/>
  <c r="K102" i="123" s="1"/>
  <c r="J109" i="123"/>
  <c r="C141" i="351"/>
  <c r="G127" i="123"/>
  <c r="I58" i="123"/>
  <c r="H55" i="86"/>
  <c r="J114" i="123" s="1"/>
  <c r="J141" i="351"/>
  <c r="N25" i="300"/>
  <c r="F9" i="338"/>
  <c r="F8" i="338" s="1"/>
  <c r="F31" i="338"/>
  <c r="F34" i="337"/>
  <c r="K55" i="129"/>
  <c r="P8" i="140"/>
  <c r="F49" i="141"/>
  <c r="F49" i="133"/>
  <c r="N23" i="140"/>
  <c r="M36" i="123"/>
  <c r="M9" i="123"/>
  <c r="H16" i="86"/>
  <c r="C42" i="129"/>
  <c r="C55" i="129" s="1"/>
  <c r="Q33" i="137"/>
  <c r="D22" i="137"/>
  <c r="F127" i="123"/>
  <c r="F97" i="123"/>
  <c r="H91" i="123"/>
  <c r="D100" i="350"/>
  <c r="I108" i="123"/>
  <c r="A11" i="299"/>
  <c r="A29" i="299"/>
  <c r="I2" i="246"/>
  <c r="K2" i="246"/>
  <c r="A31" i="299"/>
  <c r="F109" i="123"/>
  <c r="F108" i="123"/>
  <c r="D46" i="88"/>
  <c r="D9" i="88" s="1"/>
  <c r="F85" i="126"/>
  <c r="E46" i="88"/>
  <c r="E9" i="88" s="1"/>
  <c r="F52" i="123"/>
  <c r="F13" i="123" s="1"/>
  <c r="F122" i="123"/>
  <c r="I110" i="123"/>
  <c r="H89" i="255"/>
  <c r="H33" i="127" s="1"/>
  <c r="N26" i="299"/>
  <c r="N30" i="137"/>
  <c r="L35" i="298"/>
  <c r="L32" i="298"/>
  <c r="J35" i="298"/>
  <c r="J32" i="298"/>
  <c r="H35" i="298"/>
  <c r="H32" i="298"/>
  <c r="F35" i="298"/>
  <c r="F32" i="298"/>
  <c r="D35" i="298"/>
  <c r="D32" i="298"/>
  <c r="K35" i="298"/>
  <c r="K32" i="298"/>
  <c r="I35" i="298"/>
  <c r="I32" i="298"/>
  <c r="G35" i="298"/>
  <c r="G32" i="298"/>
  <c r="E35" i="298"/>
  <c r="E32" i="298"/>
  <c r="C35" i="298"/>
  <c r="C32" i="298"/>
  <c r="K16" i="298"/>
  <c r="I16" i="298"/>
  <c r="G16" i="298"/>
  <c r="E16" i="298"/>
  <c r="C16" i="298"/>
  <c r="L16" i="298"/>
  <c r="J16" i="298"/>
  <c r="H16" i="298"/>
  <c r="F16" i="298"/>
  <c r="D16" i="298"/>
  <c r="K29" i="298"/>
  <c r="F29" i="298"/>
  <c r="L29" i="298"/>
  <c r="H29" i="298"/>
  <c r="C29" i="298"/>
  <c r="N20" i="298"/>
  <c r="K103" i="146"/>
  <c r="J8" i="338"/>
  <c r="J31" i="338" s="1"/>
  <c r="J72" i="338"/>
  <c r="J13" i="338" s="1"/>
  <c r="K49" i="133"/>
  <c r="E42" i="129"/>
  <c r="E55" i="129"/>
  <c r="E149" i="351"/>
  <c r="E37" i="131"/>
  <c r="E38" i="131" s="1"/>
  <c r="E23" i="88" s="1"/>
  <c r="D5" i="237"/>
  <c r="D6" i="237" s="1"/>
  <c r="C45" i="86"/>
  <c r="G97" i="123"/>
  <c r="G99" i="123"/>
  <c r="H97" i="123"/>
  <c r="K86" i="123"/>
  <c r="K130" i="123"/>
  <c r="K91" i="123"/>
  <c r="K127" i="123"/>
  <c r="I127" i="123"/>
  <c r="C5" i="294"/>
  <c r="O5" i="140"/>
  <c r="C89" i="255"/>
  <c r="C44" i="88"/>
  <c r="C37" i="88"/>
  <c r="D7" i="123" s="1"/>
  <c r="D117" i="123"/>
  <c r="D72" i="338"/>
  <c r="D13" i="338" s="1"/>
  <c r="E86" i="123"/>
  <c r="E130" i="123" s="1"/>
  <c r="E91" i="123"/>
  <c r="E127" i="123"/>
  <c r="J91" i="123"/>
  <c r="L97" i="123"/>
  <c r="M97" i="123"/>
  <c r="A36" i="299"/>
  <c r="F44" i="88"/>
  <c r="G44" i="88"/>
  <c r="G37" i="88" s="1"/>
  <c r="H7" i="123" s="1"/>
  <c r="H117" i="123" s="1"/>
  <c r="G89" i="255"/>
  <c r="G33" i="127" s="1"/>
  <c r="A31" i="126"/>
  <c r="A30" i="140" s="1"/>
  <c r="A12" i="140"/>
  <c r="A31" i="294"/>
  <c r="M86" i="123"/>
  <c r="M130" i="123" s="1"/>
  <c r="M127" i="123"/>
  <c r="A28" i="126"/>
  <c r="A27" i="140"/>
  <c r="A9" i="294"/>
  <c r="A28" i="294"/>
  <c r="A9" i="140"/>
  <c r="L127" i="123"/>
  <c r="L86" i="123"/>
  <c r="L130" i="123"/>
  <c r="L91" i="123"/>
  <c r="C346" i="342"/>
  <c r="E49" i="141"/>
  <c r="A8" i="299"/>
  <c r="A26" i="299" s="1"/>
  <c r="F2" i="246"/>
  <c r="O20" i="299"/>
  <c r="A37" i="294"/>
  <c r="A37" i="126"/>
  <c r="A36" i="140" s="1"/>
  <c r="A9" i="299"/>
  <c r="A27" i="299" s="1"/>
  <c r="G2" i="246"/>
  <c r="A27" i="126"/>
  <c r="A26" i="140" s="1"/>
  <c r="A8" i="294"/>
  <c r="A27" i="294" s="1"/>
  <c r="A8" i="140"/>
  <c r="C46" i="88"/>
  <c r="C9" i="88" s="1"/>
  <c r="E35" i="314"/>
  <c r="D12" i="123"/>
  <c r="C85" i="126"/>
  <c r="J5" i="123"/>
  <c r="I23" i="88"/>
  <c r="H45" i="86"/>
  <c r="I5" i="237"/>
  <c r="I6" i="237" s="1"/>
  <c r="I8" i="237"/>
  <c r="E103" i="146"/>
  <c r="F103" i="146"/>
  <c r="E31" i="88"/>
  <c r="G103" i="146"/>
  <c r="H103" i="146"/>
  <c r="G31" i="88"/>
  <c r="C149" i="351"/>
  <c r="J78" i="338"/>
  <c r="M71" i="338"/>
  <c r="H71" i="338"/>
  <c r="H9" i="338" s="1"/>
  <c r="H8" i="338" s="1"/>
  <c r="H31" i="338" s="1"/>
  <c r="F15" i="338"/>
  <c r="F14" i="338" s="1"/>
  <c r="F78" i="338"/>
  <c r="L21" i="126"/>
  <c r="L40" i="126" s="1"/>
  <c r="E10" i="294"/>
  <c r="E5" i="237"/>
  <c r="J6" i="237"/>
  <c r="J8" i="237" s="1"/>
  <c r="L5" i="123"/>
  <c r="K5" i="237"/>
  <c r="K6" i="237" s="1"/>
  <c r="H6" i="237"/>
  <c r="H8" i="237"/>
  <c r="D16" i="86"/>
  <c r="O48" i="298"/>
  <c r="I346" i="342"/>
  <c r="L113" i="123"/>
  <c r="J113" i="123"/>
  <c r="N32" i="298"/>
  <c r="C33" i="127"/>
  <c r="G16" i="86"/>
  <c r="K16" i="86"/>
  <c r="E16" i="86"/>
  <c r="E18" i="86" s="1"/>
  <c r="P33" i="137"/>
  <c r="C16" i="86"/>
  <c r="C18" i="86" s="1"/>
  <c r="D36" i="127"/>
  <c r="J33" i="127"/>
  <c r="I16" i="86" s="1"/>
  <c r="I18" i="86" s="1"/>
  <c r="N35" i="298"/>
  <c r="F5" i="123"/>
  <c r="N5" i="140"/>
  <c r="M9" i="338"/>
  <c r="M8" i="338" s="1"/>
  <c r="M31" i="338"/>
  <c r="M77" i="338" s="1"/>
  <c r="M72" i="338"/>
  <c r="M13" i="338"/>
  <c r="E6" i="237"/>
  <c r="I48" i="86"/>
  <c r="F58" i="133"/>
  <c r="H36" i="315"/>
  <c r="D38" i="127"/>
  <c r="D42" i="127" s="1"/>
  <c r="D347" i="342"/>
  <c r="M5" i="95"/>
  <c r="M21" i="95" s="1"/>
  <c r="M33" i="95"/>
  <c r="K21" i="95"/>
  <c r="K33" i="95" s="1"/>
  <c r="K54" i="95"/>
  <c r="K64" i="95" s="1"/>
  <c r="D46" i="95"/>
  <c r="D52" i="95" s="1"/>
  <c r="D54" i="95"/>
  <c r="M36" i="95"/>
  <c r="M20" i="299"/>
  <c r="M40" i="299" s="1"/>
  <c r="M45" i="299" s="1"/>
  <c r="N7" i="299"/>
  <c r="N20" i="299"/>
  <c r="K195" i="342"/>
  <c r="K25" i="233"/>
  <c r="Q25" i="299" s="1"/>
  <c r="J195" i="342"/>
  <c r="J25" i="233"/>
  <c r="P25" i="299" s="1"/>
  <c r="I195" i="342"/>
  <c r="I338" i="342"/>
  <c r="I340" i="342" s="1"/>
  <c r="I25" i="233"/>
  <c r="O25" i="299"/>
  <c r="K38" i="233"/>
  <c r="K39" i="233" s="1"/>
  <c r="K45" i="233" s="1"/>
  <c r="Q38" i="299"/>
  <c r="Q40" i="299" s="1"/>
  <c r="Q45" i="299" s="1"/>
  <c r="J38" i="233"/>
  <c r="J39" i="233" s="1"/>
  <c r="J45" i="233" s="1"/>
  <c r="P38" i="299"/>
  <c r="J338" i="342"/>
  <c r="K338" i="342"/>
  <c r="I38" i="233"/>
  <c r="I39" i="233"/>
  <c r="I45" i="233" s="1"/>
  <c r="C25" i="299"/>
  <c r="L25" i="299"/>
  <c r="J340" i="342"/>
  <c r="K340" i="342"/>
  <c r="H153" i="255"/>
  <c r="I153" i="255"/>
  <c r="I34" i="127" s="1"/>
  <c r="H17" i="86" s="1"/>
  <c r="H34" i="127"/>
  <c r="G17" i="86" s="1"/>
  <c r="M39" i="95"/>
  <c r="M46" i="95" s="1"/>
  <c r="L46" i="95"/>
  <c r="L63" i="95" s="1"/>
  <c r="P34" i="137"/>
  <c r="P36" i="137"/>
  <c r="P38" i="137" s="1"/>
  <c r="P42" i="137"/>
  <c r="P46" i="137" s="1"/>
  <c r="K44" i="88"/>
  <c r="K36" i="127"/>
  <c r="J17" i="86"/>
  <c r="H27" i="342"/>
  <c r="H7" i="233"/>
  <c r="H16" i="351"/>
  <c r="G11" i="133"/>
  <c r="G9" i="133" s="1"/>
  <c r="G65" i="351"/>
  <c r="G24" i="133" s="1"/>
  <c r="G59" i="351"/>
  <c r="G206" i="342"/>
  <c r="G26" i="233"/>
  <c r="G16" i="342"/>
  <c r="G6" i="233" s="1"/>
  <c r="G5" i="342"/>
  <c r="O34" i="137"/>
  <c r="K34" i="137"/>
  <c r="J44" i="88"/>
  <c r="J37" i="88" s="1"/>
  <c r="K7" i="123" s="1"/>
  <c r="K117" i="123" s="1"/>
  <c r="I17" i="86"/>
  <c r="D17" i="86"/>
  <c r="D18" i="86"/>
  <c r="E44" i="88"/>
  <c r="E37" i="88"/>
  <c r="F7" i="123" s="1"/>
  <c r="F117" i="123" s="1"/>
  <c r="E150" i="351"/>
  <c r="Q34" i="137"/>
  <c r="Q36" i="137"/>
  <c r="K17" i="86"/>
  <c r="K18" i="86"/>
  <c r="M87" i="123" s="1"/>
  <c r="M88" i="123" s="1"/>
  <c r="M132" i="123" s="1"/>
  <c r="L44" i="88"/>
  <c r="L36" i="127"/>
  <c r="M36" i="315" s="1"/>
  <c r="K38" i="127"/>
  <c r="K42" i="127" s="1"/>
  <c r="L36" i="315"/>
  <c r="G22" i="133"/>
  <c r="G19" i="133" s="1"/>
  <c r="G52" i="351"/>
  <c r="H10" i="133"/>
  <c r="G34" i="137"/>
  <c r="J34" i="137"/>
  <c r="M34" i="137"/>
  <c r="E34" i="137"/>
  <c r="H34" i="137"/>
  <c r="L38" i="127"/>
  <c r="L42" i="127" s="1"/>
  <c r="K86" i="349"/>
  <c r="H23" i="233"/>
  <c r="H16" i="133"/>
  <c r="H15" i="133"/>
  <c r="H37" i="351"/>
  <c r="H20" i="133"/>
  <c r="H19" i="133" s="1"/>
  <c r="H52" i="351"/>
  <c r="H43" i="133"/>
  <c r="G45" i="133"/>
  <c r="G42" i="133" s="1"/>
  <c r="G121" i="351"/>
  <c r="G140" i="351"/>
  <c r="G338" i="342"/>
  <c r="G24" i="233"/>
  <c r="G38" i="233" s="1"/>
  <c r="G8" i="233"/>
  <c r="H6" i="133"/>
  <c r="H11" i="133"/>
  <c r="H15" i="351"/>
  <c r="G37" i="351"/>
  <c r="G16" i="133"/>
  <c r="G15" i="133"/>
  <c r="H5" i="342"/>
  <c r="H10" i="351"/>
  <c r="H8" i="133"/>
  <c r="H185" i="342"/>
  <c r="H184" i="342"/>
  <c r="H24" i="233" s="1"/>
  <c r="H5" i="133"/>
  <c r="H5" i="351"/>
  <c r="H71" i="351" s="1"/>
  <c r="E42" i="133"/>
  <c r="E38" i="127"/>
  <c r="E42" i="127" s="1"/>
  <c r="E44" i="127" s="1"/>
  <c r="E46" i="127" s="1"/>
  <c r="E7" i="88"/>
  <c r="F121" i="123" s="1"/>
  <c r="C19" i="86"/>
  <c r="C22" i="86" s="1"/>
  <c r="C24" i="86"/>
  <c r="B49" i="86"/>
  <c r="M59" i="338"/>
  <c r="M66" i="338" s="1"/>
  <c r="M68" i="338" s="1"/>
  <c r="L46" i="88"/>
  <c r="L9" i="88" s="1"/>
  <c r="M57" i="123"/>
  <c r="M18" i="123" s="1"/>
  <c r="M35" i="314"/>
  <c r="M52" i="123"/>
  <c r="M13" i="123"/>
  <c r="M122" i="123" s="1"/>
  <c r="K97" i="134"/>
  <c r="M12" i="123"/>
  <c r="Q29" i="300"/>
  <c r="L85" i="126"/>
  <c r="K100" i="350"/>
  <c r="H48" i="86"/>
  <c r="F16" i="86"/>
  <c r="F18" i="86"/>
  <c r="G36" i="127"/>
  <c r="L44" i="127"/>
  <c r="L46" i="127" s="1"/>
  <c r="M8" i="123"/>
  <c r="F87" i="123"/>
  <c r="F131" i="123"/>
  <c r="F96" i="123"/>
  <c r="D19" i="86"/>
  <c r="D22" i="86" s="1"/>
  <c r="D24" i="86" s="1"/>
  <c r="E86" i="349"/>
  <c r="D44" i="127"/>
  <c r="D46" i="127" s="1"/>
  <c r="E8" i="123"/>
  <c r="M15" i="338"/>
  <c r="M14" i="338" s="1"/>
  <c r="M11" i="338" s="1"/>
  <c r="E19" i="86"/>
  <c r="E22" i="86"/>
  <c r="E24" i="86" s="1"/>
  <c r="G96" i="123"/>
  <c r="F86" i="349"/>
  <c r="G87" i="123"/>
  <c r="J77" i="338"/>
  <c r="J59" i="338"/>
  <c r="J66" i="338" s="1"/>
  <c r="J68" i="338" s="1"/>
  <c r="D15" i="338"/>
  <c r="D14" i="338"/>
  <c r="D11" i="338" s="1"/>
  <c r="D31" i="338"/>
  <c r="K31" i="338"/>
  <c r="E85" i="350"/>
  <c r="E82" i="248"/>
  <c r="D58" i="123"/>
  <c r="C82" i="248"/>
  <c r="C85" i="248"/>
  <c r="D102" i="123"/>
  <c r="L71" i="338"/>
  <c r="L72" i="338"/>
  <c r="L13" i="338" s="1"/>
  <c r="E12" i="123"/>
  <c r="F35" i="314"/>
  <c r="E52" i="123"/>
  <c r="E13" i="123" s="1"/>
  <c r="E122" i="123" s="1"/>
  <c r="K32" i="88"/>
  <c r="J80" i="248"/>
  <c r="G85" i="248"/>
  <c r="H102" i="123"/>
  <c r="F55" i="86"/>
  <c r="G82" i="248"/>
  <c r="E95" i="248"/>
  <c r="D53" i="86"/>
  <c r="D17" i="123"/>
  <c r="C80" i="248"/>
  <c r="F17" i="123"/>
  <c r="E32" i="88"/>
  <c r="D56" i="86"/>
  <c r="E85" i="248"/>
  <c r="F102" i="123" s="1"/>
  <c r="F56" i="86"/>
  <c r="G80" i="248"/>
  <c r="L32" i="88"/>
  <c r="K56" i="86"/>
  <c r="F46" i="88"/>
  <c r="F9" i="88" s="1"/>
  <c r="G12" i="123"/>
  <c r="H35" i="314"/>
  <c r="G57" i="123"/>
  <c r="J52" i="123"/>
  <c r="J13" i="123"/>
  <c r="J122" i="123" s="1"/>
  <c r="J57" i="123"/>
  <c r="J18" i="123" s="1"/>
  <c r="I46" i="88"/>
  <c r="I9" i="88" s="1"/>
  <c r="L60" i="127"/>
  <c r="L33" i="88"/>
  <c r="L8" i="88"/>
  <c r="L19" i="88"/>
  <c r="C55" i="86"/>
  <c r="D83" i="248"/>
  <c r="K85" i="248"/>
  <c r="M102" i="123" s="1"/>
  <c r="K55" i="86"/>
  <c r="I72" i="338"/>
  <c r="I13" i="338"/>
  <c r="I78" i="338"/>
  <c r="Q2" i="246"/>
  <c r="A19" i="299"/>
  <c r="A37" i="299"/>
  <c r="J31" i="298"/>
  <c r="F31" i="298"/>
  <c r="K31" i="298"/>
  <c r="G31" i="298"/>
  <c r="C31" i="298"/>
  <c r="L31" i="298"/>
  <c r="H31" i="298"/>
  <c r="D31" i="298"/>
  <c r="I31" i="298"/>
  <c r="E31" i="298"/>
  <c r="J46" i="298"/>
  <c r="F46" i="298"/>
  <c r="K46" i="298"/>
  <c r="G46" i="298"/>
  <c r="C46" i="298"/>
  <c r="L46" i="298"/>
  <c r="H46" i="298"/>
  <c r="D46" i="298"/>
  <c r="I46" i="298"/>
  <c r="E46" i="298"/>
  <c r="J44" i="298"/>
  <c r="F44" i="298"/>
  <c r="K44" i="298"/>
  <c r="G44" i="298"/>
  <c r="C44" i="298"/>
  <c r="L44" i="298"/>
  <c r="H44" i="298"/>
  <c r="D44" i="298"/>
  <c r="I44" i="298"/>
  <c r="E44" i="298"/>
  <c r="J41" i="298"/>
  <c r="J38" i="298"/>
  <c r="F41" i="298"/>
  <c r="F38" i="298"/>
  <c r="K41" i="298"/>
  <c r="K38" i="298"/>
  <c r="G41" i="298"/>
  <c r="G38" i="298"/>
  <c r="C41" i="298"/>
  <c r="C38" i="298"/>
  <c r="L41" i="298"/>
  <c r="L38" i="298"/>
  <c r="H41" i="298"/>
  <c r="H38" i="298"/>
  <c r="D41" i="298"/>
  <c r="D38" i="298"/>
  <c r="I41" i="298"/>
  <c r="I38" i="298"/>
  <c r="E41" i="298"/>
  <c r="E38" i="298"/>
  <c r="L17" i="298"/>
  <c r="L15" i="298"/>
  <c r="I17" i="298"/>
  <c r="I15" i="298"/>
  <c r="D17" i="298"/>
  <c r="D15" i="298"/>
  <c r="J17" i="298"/>
  <c r="J15" i="298"/>
  <c r="E17" i="298"/>
  <c r="E15" i="298"/>
  <c r="K17" i="298"/>
  <c r="K15" i="298"/>
  <c r="G17" i="298"/>
  <c r="F17" i="298"/>
  <c r="F15" i="298" s="1"/>
  <c r="F25" i="298" s="1"/>
  <c r="F50" i="298" s="1"/>
  <c r="F53" i="298" s="1"/>
  <c r="H17" i="298"/>
  <c r="H15" i="298" s="1"/>
  <c r="C17" i="298"/>
  <c r="J24" i="299"/>
  <c r="F24" i="299"/>
  <c r="K24" i="299"/>
  <c r="G24" i="299"/>
  <c r="C24" i="299"/>
  <c r="L24" i="299"/>
  <c r="L38" i="299"/>
  <c r="L40" i="299" s="1"/>
  <c r="L45" i="299" s="1"/>
  <c r="H24" i="299"/>
  <c r="D24" i="299"/>
  <c r="I24" i="299"/>
  <c r="E24" i="299"/>
  <c r="G15" i="298"/>
  <c r="N28" i="137"/>
  <c r="I15" i="338"/>
  <c r="I14" i="338" s="1"/>
  <c r="I11" i="338" s="1"/>
  <c r="H42" i="129"/>
  <c r="H55" i="129" s="1"/>
  <c r="N20" i="137"/>
  <c r="D42" i="129"/>
  <c r="D55" i="129"/>
  <c r="Q48" i="298"/>
  <c r="Q50" i="298"/>
  <c r="Q53" i="298" s="1"/>
  <c r="K72" i="338"/>
  <c r="N9" i="137"/>
  <c r="F86" i="123"/>
  <c r="G91" i="123"/>
  <c r="F91" i="123"/>
  <c r="E85" i="126"/>
  <c r="F57" i="123"/>
  <c r="F18" i="123"/>
  <c r="E97" i="134"/>
  <c r="F12" i="123"/>
  <c r="E100" i="350"/>
  <c r="E71" i="338"/>
  <c r="E72" i="338" s="1"/>
  <c r="P5" i="298"/>
  <c r="P25" i="298"/>
  <c r="P50" i="298" s="1"/>
  <c r="P53" i="298" s="1"/>
  <c r="J25" i="133"/>
  <c r="H49" i="141"/>
  <c r="F346" i="342"/>
  <c r="F149" i="351"/>
  <c r="G55" i="86"/>
  <c r="H83" i="248"/>
  <c r="I84" i="248"/>
  <c r="K101" i="123"/>
  <c r="K17" i="123"/>
  <c r="H12" i="123"/>
  <c r="G46" i="88"/>
  <c r="G9" i="88"/>
  <c r="I35" i="314"/>
  <c r="G97" i="134"/>
  <c r="I12" i="123"/>
  <c r="I57" i="123"/>
  <c r="I18" i="123" s="1"/>
  <c r="I52" i="123"/>
  <c r="I13" i="123" s="1"/>
  <c r="I122" i="123" s="1"/>
  <c r="H100" i="350"/>
  <c r="L109" i="123"/>
  <c r="L110" i="123"/>
  <c r="Q14" i="140"/>
  <c r="E14" i="294"/>
  <c r="Q19" i="140"/>
  <c r="E19" i="294"/>
  <c r="J85" i="248"/>
  <c r="L102" i="123"/>
  <c r="L58" i="123"/>
  <c r="J83" i="248"/>
  <c r="J82" i="248"/>
  <c r="L36" i="237"/>
  <c r="L29" i="237"/>
  <c r="L32" i="237" s="1"/>
  <c r="L14" i="237" s="1"/>
  <c r="L18" i="237" s="1"/>
  <c r="K49" i="86" s="1"/>
  <c r="M116" i="123"/>
  <c r="L21" i="298"/>
  <c r="L19" i="298" s="1"/>
  <c r="L25" i="298" s="1"/>
  <c r="H21" i="298"/>
  <c r="H19" i="298" s="1"/>
  <c r="D21" i="298"/>
  <c r="D19" i="298" s="1"/>
  <c r="I21" i="298"/>
  <c r="I19" i="298" s="1"/>
  <c r="I25" i="298" s="1"/>
  <c r="E21" i="298"/>
  <c r="E19" i="298" s="1"/>
  <c r="E25" i="298" s="1"/>
  <c r="L43" i="298"/>
  <c r="L42" i="298" s="1"/>
  <c r="J43" i="298"/>
  <c r="J42" i="298" s="1"/>
  <c r="H43" i="298"/>
  <c r="H42" i="298" s="1"/>
  <c r="H48" i="298" s="1"/>
  <c r="F43" i="298"/>
  <c r="F42" i="298" s="1"/>
  <c r="D43" i="298"/>
  <c r="D42" i="298" s="1"/>
  <c r="K43" i="298"/>
  <c r="K42" i="298" s="1"/>
  <c r="I43" i="298"/>
  <c r="I42" i="298" s="1"/>
  <c r="G43" i="298"/>
  <c r="G42" i="298" s="1"/>
  <c r="G48" i="298" s="1"/>
  <c r="E43" i="298"/>
  <c r="E42" i="298" s="1"/>
  <c r="C43" i="298"/>
  <c r="C42" i="298" s="1"/>
  <c r="N43" i="298"/>
  <c r="K6" i="298"/>
  <c r="G6" i="298"/>
  <c r="L6" i="298"/>
  <c r="H6" i="298"/>
  <c r="F6" i="298"/>
  <c r="I6" i="298"/>
  <c r="E6" i="298"/>
  <c r="C6" i="298"/>
  <c r="C5" i="298" s="1"/>
  <c r="J6" i="298"/>
  <c r="D6" i="298"/>
  <c r="J30" i="298"/>
  <c r="F30" i="298"/>
  <c r="F28" i="298"/>
  <c r="F48" i="298" s="1"/>
  <c r="K30" i="298"/>
  <c r="K28" i="298" s="1"/>
  <c r="K48" i="298" s="1"/>
  <c r="G30" i="298"/>
  <c r="C30" i="298"/>
  <c r="C28" i="298" s="1"/>
  <c r="L30" i="298"/>
  <c r="L28" i="298" s="1"/>
  <c r="H30" i="298"/>
  <c r="H28" i="298"/>
  <c r="D30" i="298"/>
  <c r="I30" i="298"/>
  <c r="E30" i="298"/>
  <c r="G11" i="298"/>
  <c r="G9" i="298"/>
  <c r="C11" i="298"/>
  <c r="C9" i="298"/>
  <c r="I11" i="298"/>
  <c r="I9" i="298"/>
  <c r="H11" i="298"/>
  <c r="H9" i="298"/>
  <c r="D11" i="298"/>
  <c r="D9" i="298"/>
  <c r="J11" i="298"/>
  <c r="J9" i="298"/>
  <c r="E11" i="298"/>
  <c r="E9" i="298"/>
  <c r="L11" i="298"/>
  <c r="L9" i="298"/>
  <c r="K11" i="298"/>
  <c r="K9" i="298"/>
  <c r="F11" i="298"/>
  <c r="F9" i="298"/>
  <c r="L47" i="298"/>
  <c r="H47" i="298"/>
  <c r="D47" i="298"/>
  <c r="I47" i="298"/>
  <c r="E47" i="298"/>
  <c r="J47" i="298"/>
  <c r="F47" i="298"/>
  <c r="K47" i="298"/>
  <c r="G47" i="298"/>
  <c r="C47" i="298"/>
  <c r="N47" i="298" s="1"/>
  <c r="I24" i="298"/>
  <c r="E24" i="298"/>
  <c r="L24" i="298"/>
  <c r="H24" i="298"/>
  <c r="D24" i="298"/>
  <c r="K24" i="298"/>
  <c r="G24" i="298"/>
  <c r="C24" i="298"/>
  <c r="N24" i="298" s="1"/>
  <c r="J24" i="298"/>
  <c r="F24" i="298"/>
  <c r="G36" i="315"/>
  <c r="D34" i="137"/>
  <c r="L34" i="137"/>
  <c r="I34" i="137"/>
  <c r="F34" i="137"/>
  <c r="C34" i="137"/>
  <c r="J347" i="342"/>
  <c r="J36" i="127"/>
  <c r="H36" i="127"/>
  <c r="H44" i="88"/>
  <c r="H37" i="88"/>
  <c r="I7" i="123" s="1"/>
  <c r="I117" i="123" s="1"/>
  <c r="I36" i="127"/>
  <c r="I44" i="88"/>
  <c r="I37" i="88" s="1"/>
  <c r="J7" i="123" s="1"/>
  <c r="J117" i="123" s="1"/>
  <c r="I25" i="299"/>
  <c r="O38" i="299"/>
  <c r="O40" i="299"/>
  <c r="O45" i="299" s="1"/>
  <c r="G25" i="299"/>
  <c r="J25" i="299"/>
  <c r="E25" i="299"/>
  <c r="H25" i="299"/>
  <c r="K25" i="299"/>
  <c r="M78" i="338"/>
  <c r="D58" i="133"/>
  <c r="F11" i="338"/>
  <c r="H72" i="338"/>
  <c r="N16" i="298"/>
  <c r="J15" i="338"/>
  <c r="J14" i="338" s="1"/>
  <c r="J11" i="338" s="1"/>
  <c r="G28" i="298"/>
  <c r="I82" i="248"/>
  <c r="I31" i="338"/>
  <c r="L22" i="137"/>
  <c r="J12" i="123"/>
  <c r="D49" i="133"/>
  <c r="G22" i="137"/>
  <c r="E25" i="133"/>
  <c r="P20" i="299"/>
  <c r="P40" i="299"/>
  <c r="P45" i="299" s="1"/>
  <c r="D80" i="248"/>
  <c r="F32" i="88"/>
  <c r="K31" i="88"/>
  <c r="K35" i="88"/>
  <c r="K60" i="127"/>
  <c r="H31" i="88"/>
  <c r="Q5" i="140"/>
  <c r="K30" i="88"/>
  <c r="F44" i="123"/>
  <c r="G17" i="123"/>
  <c r="E17" i="123"/>
  <c r="F84" i="248"/>
  <c r="G101" i="123"/>
  <c r="C7" i="137"/>
  <c r="I7" i="137"/>
  <c r="I22" i="137" s="1"/>
  <c r="K7" i="137"/>
  <c r="K22" i="137"/>
  <c r="M7" i="137"/>
  <c r="M22" i="137" s="1"/>
  <c r="E7" i="137"/>
  <c r="E22" i="137"/>
  <c r="H7" i="137"/>
  <c r="H22" i="137" s="1"/>
  <c r="Q22" i="137"/>
  <c r="Q38" i="137"/>
  <c r="Q42" i="137" s="1"/>
  <c r="Q46" i="137" s="1"/>
  <c r="F43" i="123"/>
  <c r="F11" i="123"/>
  <c r="F103" i="123" s="1"/>
  <c r="H44" i="123"/>
  <c r="H30" i="88"/>
  <c r="H60" i="127"/>
  <c r="I44" i="123"/>
  <c r="I36" i="123"/>
  <c r="I9" i="123" s="1"/>
  <c r="I43" i="123"/>
  <c r="I11" i="123" s="1"/>
  <c r="I103" i="123" s="1"/>
  <c r="F26" i="248"/>
  <c r="F20" i="248"/>
  <c r="A64" i="248"/>
  <c r="E57" i="133"/>
  <c r="I38" i="127"/>
  <c r="I42" i="127" s="1"/>
  <c r="I7" i="88"/>
  <c r="J121" i="123" s="1"/>
  <c r="H38" i="127"/>
  <c r="H42" i="127" s="1"/>
  <c r="I8" i="123" s="1"/>
  <c r="H7" i="88"/>
  <c r="I121" i="123" s="1"/>
  <c r="J36" i="315"/>
  <c r="J5" i="298"/>
  <c r="J25" i="298"/>
  <c r="E5" i="298"/>
  <c r="H5" i="298"/>
  <c r="G5" i="298"/>
  <c r="G25" i="298"/>
  <c r="G50" i="298" s="1"/>
  <c r="G53" i="298" s="1"/>
  <c r="I113" i="123"/>
  <c r="I114" i="123"/>
  <c r="J57" i="133"/>
  <c r="J49" i="133"/>
  <c r="K13" i="338"/>
  <c r="K78" i="338"/>
  <c r="N17" i="298"/>
  <c r="C15" i="298"/>
  <c r="E114" i="123"/>
  <c r="E113" i="123"/>
  <c r="K149" i="351"/>
  <c r="M49" i="141"/>
  <c r="K346" i="342"/>
  <c r="K57" i="133"/>
  <c r="K59" i="338"/>
  <c r="K66" i="338" s="1"/>
  <c r="K68" i="338" s="1"/>
  <c r="K77" i="338"/>
  <c r="I36" i="315"/>
  <c r="G150" i="351"/>
  <c r="G38" i="127"/>
  <c r="G42" i="127" s="1"/>
  <c r="G44" i="127" s="1"/>
  <c r="G46" i="127" s="1"/>
  <c r="G347" i="342"/>
  <c r="G7" i="88"/>
  <c r="H121" i="123"/>
  <c r="N11" i="298"/>
  <c r="N9" i="298"/>
  <c r="N6" i="298"/>
  <c r="E38" i="299"/>
  <c r="E40" i="299"/>
  <c r="E45" i="299" s="1"/>
  <c r="G38" i="299"/>
  <c r="G40" i="299" s="1"/>
  <c r="G45" i="299" s="1"/>
  <c r="N38" i="298"/>
  <c r="N44" i="298"/>
  <c r="N46" i="298"/>
  <c r="N31" i="298"/>
  <c r="E55" i="86"/>
  <c r="F82" i="248"/>
  <c r="G58" i="123"/>
  <c r="G18" i="123"/>
  <c r="F83" i="248"/>
  <c r="F85" i="248"/>
  <c r="G102" i="123" s="1"/>
  <c r="J49" i="141"/>
  <c r="H149" i="351"/>
  <c r="H36" i="123"/>
  <c r="H9" i="123"/>
  <c r="K36" i="123"/>
  <c r="K9" i="123"/>
  <c r="N7" i="137"/>
  <c r="N22" i="137"/>
  <c r="C22" i="137"/>
  <c r="F36" i="123"/>
  <c r="F9" i="123"/>
  <c r="G36" i="123"/>
  <c r="G9" i="123"/>
  <c r="L49" i="141"/>
  <c r="J346" i="342"/>
  <c r="J149" i="351"/>
  <c r="I77" i="338"/>
  <c r="I59" i="338"/>
  <c r="I66" i="338"/>
  <c r="I68" i="338" s="1"/>
  <c r="H13" i="338"/>
  <c r="H78" i="338"/>
  <c r="J38" i="127"/>
  <c r="J42" i="127" s="1"/>
  <c r="I150" i="351"/>
  <c r="K36" i="315"/>
  <c r="J7" i="88"/>
  <c r="K121" i="123"/>
  <c r="I347" i="342"/>
  <c r="D5" i="298"/>
  <c r="I5" i="298"/>
  <c r="F5" i="298"/>
  <c r="L5" i="298"/>
  <c r="K5" i="298"/>
  <c r="K25" i="298"/>
  <c r="K50" i="298" s="1"/>
  <c r="K53" i="298" s="1"/>
  <c r="E9" i="338"/>
  <c r="E8" i="338"/>
  <c r="F88" i="123"/>
  <c r="F132" i="123" s="1"/>
  <c r="F130" i="123"/>
  <c r="N24" i="299"/>
  <c r="C38" i="299"/>
  <c r="C40" i="299" s="1"/>
  <c r="C45" i="299" s="1"/>
  <c r="M113" i="123"/>
  <c r="M114" i="123"/>
  <c r="H114" i="123"/>
  <c r="H113" i="123"/>
  <c r="L9" i="338"/>
  <c r="L8" i="338"/>
  <c r="L78" i="338"/>
  <c r="D59" i="338"/>
  <c r="D66" i="338" s="1"/>
  <c r="D68" i="338" s="1"/>
  <c r="D77" i="338"/>
  <c r="G131" i="123"/>
  <c r="G88" i="123"/>
  <c r="G132" i="123"/>
  <c r="H87" i="123"/>
  <c r="F19" i="86"/>
  <c r="F22" i="86" s="1"/>
  <c r="F24" i="86" s="1"/>
  <c r="G86" i="349"/>
  <c r="H96" i="123"/>
  <c r="N34" i="137"/>
  <c r="N30" i="298"/>
  <c r="N21" i="298"/>
  <c r="J36" i="123"/>
  <c r="J9" i="123"/>
  <c r="I38" i="299"/>
  <c r="I40" i="299"/>
  <c r="I45" i="299" s="1"/>
  <c r="H38" i="299"/>
  <c r="H40" i="299" s="1"/>
  <c r="H45" i="299" s="1"/>
  <c r="K38" i="299"/>
  <c r="K40" i="299"/>
  <c r="K45" i="299" s="1"/>
  <c r="J38" i="299"/>
  <c r="J40" i="299" s="1"/>
  <c r="J45" i="299" s="1"/>
  <c r="N41" i="298"/>
  <c r="L31" i="338"/>
  <c r="L15" i="338"/>
  <c r="L14" i="338" s="1"/>
  <c r="L11" i="338" s="1"/>
  <c r="E31" i="338"/>
  <c r="K8" i="123"/>
  <c r="H8" i="123"/>
  <c r="K15" i="338"/>
  <c r="K14" i="338"/>
  <c r="K11" i="338" s="1"/>
  <c r="H131" i="123"/>
  <c r="H88" i="123"/>
  <c r="H132" i="123"/>
  <c r="D25" i="298"/>
  <c r="G114" i="123"/>
  <c r="G113" i="123"/>
  <c r="H44" i="127"/>
  <c r="H46" i="127" s="1"/>
  <c r="I44" i="127"/>
  <c r="I46" i="127" s="1"/>
  <c r="J8" i="123"/>
  <c r="K26" i="298"/>
  <c r="L26" i="298"/>
  <c r="F26" i="298"/>
  <c r="G26" i="298"/>
  <c r="E26" i="298"/>
  <c r="J26" i="298"/>
  <c r="E77" i="338"/>
  <c r="L77" i="338"/>
  <c r="D26" i="298"/>
  <c r="I57" i="128" l="1"/>
  <c r="I62" i="128" s="1"/>
  <c r="I70" i="128" s="1"/>
  <c r="I81" i="128" s="1"/>
  <c r="I48" i="127"/>
  <c r="H57" i="128"/>
  <c r="H62" i="128" s="1"/>
  <c r="H70" i="128" s="1"/>
  <c r="H81" i="128" s="1"/>
  <c r="H48" i="127"/>
  <c r="G48" i="127"/>
  <c r="G57" i="128"/>
  <c r="G62" i="128" s="1"/>
  <c r="G70" i="128" s="1"/>
  <c r="G81" i="128" s="1"/>
  <c r="C48" i="298"/>
  <c r="C25" i="298"/>
  <c r="C50" i="298" s="1"/>
  <c r="C53" i="298" s="1"/>
  <c r="N5" i="298"/>
  <c r="E13" i="338"/>
  <c r="E78" i="338"/>
  <c r="D48" i="127"/>
  <c r="D57" i="128"/>
  <c r="D62" i="128" s="1"/>
  <c r="D70" i="128" s="1"/>
  <c r="D81" i="128" s="1"/>
  <c r="D58" i="127"/>
  <c r="K87" i="123"/>
  <c r="I19" i="86"/>
  <c r="I22" i="86" s="1"/>
  <c r="I24" i="86" s="1"/>
  <c r="I86" i="349"/>
  <c r="K96" i="123"/>
  <c r="H77" i="338"/>
  <c r="I26" i="298"/>
  <c r="H15" i="338"/>
  <c r="H14" i="338" s="1"/>
  <c r="H11" i="338" s="1"/>
  <c r="J44" i="127"/>
  <c r="J46" i="127" s="1"/>
  <c r="R45" i="246"/>
  <c r="N15" i="298"/>
  <c r="L48" i="298"/>
  <c r="N42" i="298"/>
  <c r="N19" i="298"/>
  <c r="L50" i="298"/>
  <c r="L53" i="298" s="1"/>
  <c r="H25" i="298"/>
  <c r="L57" i="128"/>
  <c r="L62" i="128" s="1"/>
  <c r="L70" i="128" s="1"/>
  <c r="L81" i="128" s="1"/>
  <c r="L48" i="127"/>
  <c r="Q49" i="137" s="1"/>
  <c r="L58" i="127"/>
  <c r="E57" i="128"/>
  <c r="E62" i="128" s="1"/>
  <c r="E70" i="128" s="1"/>
  <c r="E81" i="128" s="1"/>
  <c r="E48" i="127"/>
  <c r="Q48" i="299"/>
  <c r="F8" i="123"/>
  <c r="H5" i="233"/>
  <c r="H20" i="233" s="1"/>
  <c r="H170" i="342"/>
  <c r="G71" i="351"/>
  <c r="M131" i="123"/>
  <c r="K347" i="342"/>
  <c r="K44" i="127"/>
  <c r="K46" i="127" s="1"/>
  <c r="L8" i="123"/>
  <c r="G5" i="233"/>
  <c r="G20" i="233" s="1"/>
  <c r="G39" i="233" s="1"/>
  <c r="G58" i="127" s="1"/>
  <c r="G170" i="342"/>
  <c r="G25" i="133"/>
  <c r="J150" i="351"/>
  <c r="K7" i="88"/>
  <c r="L121" i="123" s="1"/>
  <c r="J58" i="133"/>
  <c r="L52" i="95"/>
  <c r="L54" i="95" s="1"/>
  <c r="L64" i="95" s="1"/>
  <c r="M52" i="95"/>
  <c r="M63" i="95"/>
  <c r="D25" i="299"/>
  <c r="F25" i="299"/>
  <c r="F38" i="299" s="1"/>
  <c r="F40" i="299" s="1"/>
  <c r="F45" i="299" s="1"/>
  <c r="O33" i="137"/>
  <c r="D150" i="351"/>
  <c r="D7" i="88"/>
  <c r="E121" i="123" s="1"/>
  <c r="F36" i="315"/>
  <c r="G48" i="86"/>
  <c r="K8" i="237"/>
  <c r="E8" i="237"/>
  <c r="D8" i="237"/>
  <c r="D45" i="86"/>
  <c r="H18" i="86"/>
  <c r="D78" i="338"/>
  <c r="D37" i="88"/>
  <c r="E7" i="123" s="1"/>
  <c r="E117" i="123" s="1"/>
  <c r="E5" i="123"/>
  <c r="D23" i="88"/>
  <c r="F7" i="88"/>
  <c r="G121" i="123" s="1"/>
  <c r="F38" i="127"/>
  <c r="F42" i="127" s="1"/>
  <c r="F347" i="342"/>
  <c r="F150" i="351"/>
  <c r="J18" i="86"/>
  <c r="B56" i="86"/>
  <c r="C84" i="248"/>
  <c r="D101" i="123" s="1"/>
  <c r="H17" i="123"/>
  <c r="G84" i="248"/>
  <c r="H101" i="123" s="1"/>
  <c r="Q15" i="140"/>
  <c r="E15" i="294"/>
  <c r="Q16" i="140"/>
  <c r="E16" i="294"/>
  <c r="D85" i="350"/>
  <c r="D86" i="350"/>
  <c r="L162" i="255"/>
  <c r="K100" i="349"/>
  <c r="K85" i="349"/>
  <c r="I86" i="350"/>
  <c r="I85" i="350"/>
  <c r="G100" i="350"/>
  <c r="C100" i="350"/>
  <c r="C86" i="350"/>
  <c r="C85" i="350"/>
  <c r="C56" i="86"/>
  <c r="D85" i="248"/>
  <c r="E102" i="123" s="1"/>
  <c r="D32" i="88"/>
  <c r="D84" i="248"/>
  <c r="E101" i="123" s="1"/>
  <c r="E56" i="86"/>
  <c r="F80" i="248"/>
  <c r="D141" i="351"/>
  <c r="D149" i="351"/>
  <c r="D57" i="123"/>
  <c r="D18" i="123" s="1"/>
  <c r="D52" i="123"/>
  <c r="D13" i="123" s="1"/>
  <c r="D122" i="123" s="1"/>
  <c r="L58" i="338"/>
  <c r="L42" i="338"/>
  <c r="O19" i="140"/>
  <c r="N19" i="140" s="1"/>
  <c r="C19" i="294"/>
  <c r="D84" i="123"/>
  <c r="D55" i="123" s="1"/>
  <c r="C10" i="294"/>
  <c r="O10" i="140"/>
  <c r="N10" i="140" s="1"/>
  <c r="O14" i="140"/>
  <c r="N14" i="140" s="1"/>
  <c r="C14" i="294"/>
  <c r="G36" i="237"/>
  <c r="G29" i="237" s="1"/>
  <c r="G32" i="237" s="1"/>
  <c r="G14" i="237" s="1"/>
  <c r="G18" i="237" s="1"/>
  <c r="H116" i="123"/>
  <c r="O25" i="298"/>
  <c r="O50" i="298" s="1"/>
  <c r="O53" i="298" s="1"/>
  <c r="H18" i="237"/>
  <c r="D15" i="294"/>
  <c r="P15" i="140"/>
  <c r="J116" i="123"/>
  <c r="I36" i="237"/>
  <c r="I29" i="237" s="1"/>
  <c r="I32" i="237" s="1"/>
  <c r="I14" i="237" s="1"/>
  <c r="I18" i="237" s="1"/>
  <c r="J36" i="237"/>
  <c r="J29" i="237" s="1"/>
  <c r="J32" i="237" s="1"/>
  <c r="J14" i="237" s="1"/>
  <c r="J18" i="237" s="1"/>
  <c r="I49" i="86" s="1"/>
  <c r="K116" i="123"/>
  <c r="O6" i="140"/>
  <c r="C6" i="294"/>
  <c r="C8" i="294"/>
  <c r="O8" i="140"/>
  <c r="N8" i="140" s="1"/>
  <c r="E48" i="133"/>
  <c r="H25" i="133"/>
  <c r="H9" i="133"/>
  <c r="L7" i="88"/>
  <c r="M121" i="123" s="1"/>
  <c r="K150" i="351"/>
  <c r="K58" i="133"/>
  <c r="M54" i="95"/>
  <c r="M64" i="95" s="1"/>
  <c r="I50" i="86"/>
  <c r="E87" i="123"/>
  <c r="D86" i="349"/>
  <c r="G18" i="86"/>
  <c r="G19" i="86" s="1"/>
  <c r="G22" i="86" s="1"/>
  <c r="G24" i="86" s="1"/>
  <c r="B16" i="86"/>
  <c r="B18" i="86" s="1"/>
  <c r="C36" i="127"/>
  <c r="F77" i="338"/>
  <c r="F59" i="338"/>
  <c r="F66" i="338" s="1"/>
  <c r="F68" i="338" s="1"/>
  <c r="K23" i="88"/>
  <c r="L37" i="131"/>
  <c r="L38" i="131" s="1"/>
  <c r="J45" i="86"/>
  <c r="K37" i="88"/>
  <c r="L7" i="123" s="1"/>
  <c r="L117" i="123" s="1"/>
  <c r="K49" i="141"/>
  <c r="I149" i="351"/>
  <c r="G72" i="338"/>
  <c r="G13" i="338" s="1"/>
  <c r="G9" i="338"/>
  <c r="G8" i="338" s="1"/>
  <c r="G78" i="338"/>
  <c r="M91" i="123"/>
  <c r="K19" i="86"/>
  <c r="K22" i="86" s="1"/>
  <c r="K24" i="86" s="1"/>
  <c r="I86" i="123"/>
  <c r="I91" i="123"/>
  <c r="E80" i="248"/>
  <c r="E84" i="248"/>
  <c r="F101" i="123" s="1"/>
  <c r="H52" i="123"/>
  <c r="H13" i="123" s="1"/>
  <c r="H122" i="123" s="1"/>
  <c r="G85" i="126"/>
  <c r="H57" i="123"/>
  <c r="H18" i="123" s="1"/>
  <c r="E12" i="294"/>
  <c r="Q12" i="140"/>
  <c r="Q20" i="140" s="1"/>
  <c r="Q13" i="140"/>
  <c r="E13" i="294"/>
  <c r="E18" i="294"/>
  <c r="Q18" i="140"/>
  <c r="F97" i="134"/>
  <c r="C100" i="349"/>
  <c r="C85" i="349"/>
  <c r="K85" i="350"/>
  <c r="K82" i="248"/>
  <c r="F18" i="237"/>
  <c r="E49" i="86" s="1"/>
  <c r="K18" i="237"/>
  <c r="J49" i="86" s="1"/>
  <c r="F85" i="350"/>
  <c r="F100" i="350"/>
  <c r="F86" i="350"/>
  <c r="F36" i="237"/>
  <c r="F29" i="237" s="1"/>
  <c r="F32" i="237" s="1"/>
  <c r="F14" i="237" s="1"/>
  <c r="G116" i="123"/>
  <c r="O11" i="140"/>
  <c r="N11" i="140" s="1"/>
  <c r="C11" i="294"/>
  <c r="O12" i="140"/>
  <c r="N12" i="140" s="1"/>
  <c r="C12" i="294"/>
  <c r="O15" i="140"/>
  <c r="N15" i="140" s="1"/>
  <c r="C15" i="294"/>
  <c r="J8" i="126"/>
  <c r="O9" i="140"/>
  <c r="N9" i="140" s="1"/>
  <c r="C9" i="294"/>
  <c r="H58" i="338"/>
  <c r="H80" i="338" s="1"/>
  <c r="H42" i="338"/>
  <c r="D56" i="95"/>
  <c r="E55" i="95" s="1"/>
  <c r="E56" i="95" s="1"/>
  <c r="F55" i="95" s="1"/>
  <c r="F56" i="95" s="1"/>
  <c r="G55" i="95" s="1"/>
  <c r="G56" i="95" s="1"/>
  <c r="H55" i="95" s="1"/>
  <c r="H56" i="95" s="1"/>
  <c r="I55" i="95" s="1"/>
  <c r="I56" i="95" s="1"/>
  <c r="J55" i="95" s="1"/>
  <c r="J56" i="95" s="1"/>
  <c r="K55" i="95" s="1"/>
  <c r="K56" i="95" s="1"/>
  <c r="L55" i="95" s="1"/>
  <c r="L56" i="95" s="1"/>
  <c r="M55" i="95" s="1"/>
  <c r="M56" i="95" s="1"/>
  <c r="N55" i="95" s="1"/>
  <c r="N56" i="95" s="1"/>
  <c r="O55" i="95" s="1"/>
  <c r="O56" i="95" s="1"/>
  <c r="P55" i="95" s="1"/>
  <c r="P56" i="95" s="1"/>
  <c r="P13" i="140"/>
  <c r="D13" i="294"/>
  <c r="P11" i="140"/>
  <c r="D11" i="294"/>
  <c r="E42" i="338"/>
  <c r="E58" i="338"/>
  <c r="P19" i="140"/>
  <c r="D19" i="294"/>
  <c r="I103" i="146"/>
  <c r="J31" i="88"/>
  <c r="J103" i="146"/>
  <c r="C16" i="294"/>
  <c r="O16" i="140"/>
  <c r="N16" i="140" s="1"/>
  <c r="A11" i="294"/>
  <c r="A30" i="294" s="1"/>
  <c r="A30" i="126"/>
  <c r="A29" i="140" s="1"/>
  <c r="A11" i="140"/>
  <c r="P9" i="140"/>
  <c r="P20" i="140" s="1"/>
  <c r="D9" i="294"/>
  <c r="D21" i="294" s="1"/>
  <c r="K21" i="126"/>
  <c r="K40" i="126" s="1"/>
  <c r="E95" i="253"/>
  <c r="A1" i="305"/>
  <c r="A1" i="300"/>
  <c r="A1" i="147"/>
  <c r="A1" i="143"/>
  <c r="A1" i="338"/>
  <c r="A1" i="95"/>
  <c r="A7" i="126"/>
  <c r="A186" i="343"/>
  <c r="L26" i="140"/>
  <c r="H26" i="140"/>
  <c r="D26" i="140"/>
  <c r="K26" i="140"/>
  <c r="G26" i="140"/>
  <c r="A18" i="140"/>
  <c r="I25" i="133"/>
  <c r="I48" i="133"/>
  <c r="I58" i="133" s="1"/>
  <c r="P2" i="246"/>
  <c r="E29" i="298"/>
  <c r="E28" i="298" s="1"/>
  <c r="E48" i="298" s="1"/>
  <c r="E50" i="298" s="1"/>
  <c r="E53" i="298" s="1"/>
  <c r="J29" i="298"/>
  <c r="J28" i="298" s="1"/>
  <c r="J48" i="298" s="1"/>
  <c r="J50" i="298" s="1"/>
  <c r="J53" i="298" s="1"/>
  <c r="D29" i="298"/>
  <c r="I29" i="298"/>
  <c r="I28" i="298" s="1"/>
  <c r="I48" i="298" s="1"/>
  <c r="I50" i="298" s="1"/>
  <c r="I53" i="298" s="1"/>
  <c r="E57" i="123"/>
  <c r="E18" i="123" s="1"/>
  <c r="B55" i="86"/>
  <c r="H82" i="248"/>
  <c r="C5" i="237"/>
  <c r="B45" i="86"/>
  <c r="F38" i="131"/>
  <c r="H56" i="86"/>
  <c r="E11" i="294"/>
  <c r="E17" i="294"/>
  <c r="D49" i="131"/>
  <c r="G28" i="133"/>
  <c r="G48" i="133" s="1"/>
  <c r="G58" i="133" s="1"/>
  <c r="E38" i="233"/>
  <c r="E39" i="233" s="1"/>
  <c r="L25" i="140"/>
  <c r="H25" i="140"/>
  <c r="D25" i="140"/>
  <c r="K25" i="140"/>
  <c r="G25" i="140"/>
  <c r="L24" i="140"/>
  <c r="H24" i="140"/>
  <c r="H38" i="140" s="1"/>
  <c r="H39" i="140" s="1"/>
  <c r="D24" i="140"/>
  <c r="K24" i="140"/>
  <c r="K38" i="140" s="1"/>
  <c r="K39" i="140" s="1"/>
  <c r="G24" i="140"/>
  <c r="J149" i="343"/>
  <c r="J19" i="126" s="1"/>
  <c r="C14" i="133"/>
  <c r="C9" i="133" s="1"/>
  <c r="C25" i="133" s="1"/>
  <c r="F15" i="123"/>
  <c r="H18" i="337"/>
  <c r="H51" i="349"/>
  <c r="J63" i="338"/>
  <c r="J64" i="338"/>
  <c r="H206" i="342"/>
  <c r="H130" i="351"/>
  <c r="H128" i="351" s="1"/>
  <c r="Q39" i="140" l="1"/>
  <c r="Q45" i="140"/>
  <c r="E45" i="233"/>
  <c r="E58" i="127"/>
  <c r="L35" i="314"/>
  <c r="K85" i="126"/>
  <c r="L52" i="123"/>
  <c r="L13" i="123" s="1"/>
  <c r="L122" i="123" s="1"/>
  <c r="K46" i="88"/>
  <c r="K9" i="88" s="1"/>
  <c r="P29" i="300"/>
  <c r="L12" i="123"/>
  <c r="J100" i="350"/>
  <c r="J97" i="134"/>
  <c r="L57" i="123"/>
  <c r="L18" i="123" s="1"/>
  <c r="H45" i="133"/>
  <c r="H42" i="133" s="1"/>
  <c r="H48" i="133" s="1"/>
  <c r="H58" i="133" s="1"/>
  <c r="H121" i="351"/>
  <c r="H140" i="351" s="1"/>
  <c r="H26" i="233"/>
  <c r="H38" i="233" s="1"/>
  <c r="H338" i="342"/>
  <c r="H347" i="342" s="1"/>
  <c r="C57" i="133"/>
  <c r="C49" i="133"/>
  <c r="G38" i="140"/>
  <c r="G39" i="140" s="1"/>
  <c r="N24" i="140"/>
  <c r="D38" i="140"/>
  <c r="D39" i="140" s="1"/>
  <c r="L38" i="140"/>
  <c r="L39" i="140" s="1"/>
  <c r="E21" i="294"/>
  <c r="E45" i="86"/>
  <c r="F37" i="88"/>
  <c r="G7" i="123" s="1"/>
  <c r="G117" i="123" s="1"/>
  <c r="F5" i="237"/>
  <c r="F23" i="88"/>
  <c r="G5" i="123"/>
  <c r="C6" i="237"/>
  <c r="C8" i="237" s="1"/>
  <c r="D114" i="123"/>
  <c r="D113" i="123"/>
  <c r="I49" i="133"/>
  <c r="I57" i="133"/>
  <c r="N26" i="140"/>
  <c r="A6" i="140"/>
  <c r="A6" i="294"/>
  <c r="A25" i="294" s="1"/>
  <c r="A25" i="126"/>
  <c r="A24" i="140" s="1"/>
  <c r="P45" i="140"/>
  <c r="P39" i="140"/>
  <c r="C7" i="294"/>
  <c r="O7" i="140"/>
  <c r="N7" i="140" s="1"/>
  <c r="I130" i="123"/>
  <c r="G15" i="338"/>
  <c r="G14" i="338" s="1"/>
  <c r="G31" i="338"/>
  <c r="C86" i="349"/>
  <c r="E96" i="123"/>
  <c r="D87" i="123"/>
  <c r="B19" i="86"/>
  <c r="B22" i="86" s="1"/>
  <c r="B24" i="86" s="1"/>
  <c r="E58" i="133"/>
  <c r="E49" i="133"/>
  <c r="J21" i="126"/>
  <c r="J40" i="126" s="1"/>
  <c r="H49" i="86"/>
  <c r="H50" i="86" s="1"/>
  <c r="I19" i="237"/>
  <c r="J124" i="123" s="1"/>
  <c r="J6" i="123"/>
  <c r="I6" i="123"/>
  <c r="G49" i="86"/>
  <c r="L80" i="338"/>
  <c r="L59" i="338"/>
  <c r="L66" i="338" s="1"/>
  <c r="L68" i="338" s="1"/>
  <c r="F44" i="127"/>
  <c r="F46" i="127" s="1"/>
  <c r="G8" i="123"/>
  <c r="E19" i="237"/>
  <c r="D48" i="86"/>
  <c r="D50" i="86" s="1"/>
  <c r="F6" i="123"/>
  <c r="H19" i="237"/>
  <c r="I124" i="123" s="1"/>
  <c r="J19" i="237"/>
  <c r="K124" i="123" s="1"/>
  <c r="N25" i="299"/>
  <c r="N38" i="299" s="1"/>
  <c r="N40" i="299" s="1"/>
  <c r="N45" i="299" s="1"/>
  <c r="G346" i="342"/>
  <c r="G340" i="342"/>
  <c r="G141" i="351"/>
  <c r="G149" i="351"/>
  <c r="H39" i="233"/>
  <c r="H50" i="298"/>
  <c r="H53" i="298" s="1"/>
  <c r="H26" i="298"/>
  <c r="J57" i="128"/>
  <c r="J62" i="128" s="1"/>
  <c r="J70" i="128" s="1"/>
  <c r="J81" i="128" s="1"/>
  <c r="J58" i="127"/>
  <c r="J48" i="127"/>
  <c r="O48" i="299" s="1"/>
  <c r="K6" i="123"/>
  <c r="K88" i="123"/>
  <c r="K132" i="123" s="1"/>
  <c r="K133" i="123" s="1"/>
  <c r="K134" i="123" s="1"/>
  <c r="K135" i="123" s="1"/>
  <c r="K131" i="123"/>
  <c r="Q56" i="298"/>
  <c r="E15" i="338"/>
  <c r="E14" i="338" s="1"/>
  <c r="E11" i="338"/>
  <c r="N25" i="298"/>
  <c r="H79" i="248"/>
  <c r="H69" i="248" s="1"/>
  <c r="H77" i="349"/>
  <c r="C18" i="294"/>
  <c r="O18" i="140"/>
  <c r="N18" i="140" s="1"/>
  <c r="N25" i="140"/>
  <c r="N29" i="298"/>
  <c r="D28" i="298"/>
  <c r="D54" i="294"/>
  <c r="D60" i="294"/>
  <c r="E80" i="338"/>
  <c r="E59" i="338"/>
  <c r="E66" i="338" s="1"/>
  <c r="E68" i="338" s="1"/>
  <c r="J171" i="343"/>
  <c r="J341" i="343" s="1"/>
  <c r="G11" i="338"/>
  <c r="M5" i="123"/>
  <c r="L5" i="237"/>
  <c r="L37" i="88"/>
  <c r="M7" i="123" s="1"/>
  <c r="M117" i="123" s="1"/>
  <c r="L23" i="88"/>
  <c r="K45" i="86"/>
  <c r="E36" i="315"/>
  <c r="C150" i="351"/>
  <c r="C38" i="127"/>
  <c r="C42" i="127" s="1"/>
  <c r="C58" i="133"/>
  <c r="C7" i="88"/>
  <c r="D121" i="123" s="1"/>
  <c r="C347" i="342"/>
  <c r="I96" i="123"/>
  <c r="I87" i="123"/>
  <c r="I131" i="123" s="1"/>
  <c r="E131" i="123"/>
  <c r="E88" i="123"/>
  <c r="E132" i="123" s="1"/>
  <c r="H57" i="133"/>
  <c r="H49" i="133"/>
  <c r="C21" i="294"/>
  <c r="N6" i="140"/>
  <c r="N20" i="140" s="1"/>
  <c r="O20" i="140"/>
  <c r="O56" i="298"/>
  <c r="F49" i="86"/>
  <c r="F50" i="86" s="1"/>
  <c r="G19" i="237"/>
  <c r="H6" i="123"/>
  <c r="L87" i="123"/>
  <c r="J19" i="86"/>
  <c r="J22" i="86" s="1"/>
  <c r="J24" i="86" s="1"/>
  <c r="L96" i="123"/>
  <c r="M96" i="123"/>
  <c r="J86" i="349"/>
  <c r="H19" i="86"/>
  <c r="H22" i="86" s="1"/>
  <c r="H24" i="86" s="1"/>
  <c r="J87" i="123"/>
  <c r="J96" i="123"/>
  <c r="C48" i="86"/>
  <c r="C50" i="86" s="1"/>
  <c r="E6" i="123"/>
  <c r="D19" i="237"/>
  <c r="E124" i="123" s="1"/>
  <c r="K19" i="237"/>
  <c r="L124" i="123" s="1"/>
  <c r="J48" i="86"/>
  <c r="J50" i="86" s="1"/>
  <c r="L6" i="123"/>
  <c r="G50" i="86"/>
  <c r="J33" i="137"/>
  <c r="J36" i="137" s="1"/>
  <c r="J38" i="137" s="1"/>
  <c r="J42" i="137" s="1"/>
  <c r="J46" i="137" s="1"/>
  <c r="H33" i="137"/>
  <c r="H36" i="137" s="1"/>
  <c r="H38" i="137" s="1"/>
  <c r="H42" i="137" s="1"/>
  <c r="H46" i="137" s="1"/>
  <c r="D33" i="137"/>
  <c r="D36" i="137" s="1"/>
  <c r="D38" i="137" s="1"/>
  <c r="D42" i="137" s="1"/>
  <c r="D46" i="137" s="1"/>
  <c r="G33" i="137"/>
  <c r="G36" i="137" s="1"/>
  <c r="G38" i="137" s="1"/>
  <c r="G42" i="137" s="1"/>
  <c r="G46" i="137" s="1"/>
  <c r="C33" i="137"/>
  <c r="C36" i="137" s="1"/>
  <c r="C38" i="137" s="1"/>
  <c r="C42" i="137" s="1"/>
  <c r="C46" i="137" s="1"/>
  <c r="O36" i="137"/>
  <c r="O38" i="137" s="1"/>
  <c r="O42" i="137" s="1"/>
  <c r="O46" i="137" s="1"/>
  <c r="O49" i="137" s="1"/>
  <c r="E33" i="137"/>
  <c r="E36" i="137" s="1"/>
  <c r="E38" i="137" s="1"/>
  <c r="E42" i="137" s="1"/>
  <c r="E46" i="137" s="1"/>
  <c r="I33" i="137"/>
  <c r="I36" i="137" s="1"/>
  <c r="I38" i="137" s="1"/>
  <c r="I42" i="137" s="1"/>
  <c r="I46" i="137" s="1"/>
  <c r="M33" i="137"/>
  <c r="M36" i="137" s="1"/>
  <c r="M38" i="137" s="1"/>
  <c r="M42" i="137" s="1"/>
  <c r="M46" i="137" s="1"/>
  <c r="F33" i="137"/>
  <c r="F36" i="137" s="1"/>
  <c r="F38" i="137" s="1"/>
  <c r="F42" i="137" s="1"/>
  <c r="F46" i="137" s="1"/>
  <c r="L33" i="137"/>
  <c r="L36" i="137" s="1"/>
  <c r="L38" i="137" s="1"/>
  <c r="L42" i="137" s="1"/>
  <c r="L46" i="137" s="1"/>
  <c r="K33" i="137"/>
  <c r="K36" i="137" s="1"/>
  <c r="K38" i="137" s="1"/>
  <c r="K42" i="137" s="1"/>
  <c r="K46" i="137" s="1"/>
  <c r="N33" i="137"/>
  <c r="N36" i="137" s="1"/>
  <c r="N38" i="137" s="1"/>
  <c r="N42" i="137" s="1"/>
  <c r="N46" i="137" s="1"/>
  <c r="G49" i="133"/>
  <c r="G57" i="133"/>
  <c r="G45" i="233"/>
  <c r="K57" i="128"/>
  <c r="K62" i="128" s="1"/>
  <c r="K70" i="128" s="1"/>
  <c r="K81" i="128" s="1"/>
  <c r="K48" i="127"/>
  <c r="K58" i="127"/>
  <c r="H340" i="342"/>
  <c r="H346" i="342"/>
  <c r="D38" i="299"/>
  <c r="D40" i="299" s="1"/>
  <c r="D45" i="299" s="1"/>
  <c r="H59" i="338"/>
  <c r="H66" i="338" s="1"/>
  <c r="H68" i="338" s="1"/>
  <c r="C19" i="237" l="1"/>
  <c r="D124" i="123" s="1"/>
  <c r="D6" i="123"/>
  <c r="B48" i="86"/>
  <c r="B50" i="86" s="1"/>
  <c r="P49" i="137"/>
  <c r="P48" i="299"/>
  <c r="P56" i="298"/>
  <c r="J131" i="123"/>
  <c r="J88" i="123"/>
  <c r="J132" i="123" s="1"/>
  <c r="J133" i="123" s="1"/>
  <c r="J134" i="123" s="1"/>
  <c r="J135" i="123" s="1"/>
  <c r="L88" i="123"/>
  <c r="L132" i="123" s="1"/>
  <c r="L133" i="123" s="1"/>
  <c r="L134" i="123" s="1"/>
  <c r="L135" i="123" s="1"/>
  <c r="L131" i="123"/>
  <c r="H124" i="123"/>
  <c r="H133" i="123"/>
  <c r="H134" i="123" s="1"/>
  <c r="H135" i="123" s="1"/>
  <c r="E133" i="123"/>
  <c r="E134" i="123" s="1"/>
  <c r="E135" i="123" s="1"/>
  <c r="H162" i="255"/>
  <c r="H86" i="349"/>
  <c r="H100" i="349"/>
  <c r="H85" i="349"/>
  <c r="H45" i="233"/>
  <c r="H58" i="127"/>
  <c r="F124" i="123"/>
  <c r="F133" i="123"/>
  <c r="F134" i="123" s="1"/>
  <c r="F135" i="123" s="1"/>
  <c r="F58" i="127"/>
  <c r="F57" i="128"/>
  <c r="F62" i="128" s="1"/>
  <c r="F70" i="128" s="1"/>
  <c r="F81" i="128" s="1"/>
  <c r="F48" i="127"/>
  <c r="K35" i="314"/>
  <c r="K57" i="123"/>
  <c r="K18" i="123" s="1"/>
  <c r="K52" i="123"/>
  <c r="K13" i="123" s="1"/>
  <c r="K122" i="123" s="1"/>
  <c r="K12" i="123"/>
  <c r="J85" i="126"/>
  <c r="J46" i="88"/>
  <c r="J9" i="88" s="1"/>
  <c r="O29" i="300"/>
  <c r="I97" i="134"/>
  <c r="I100" i="350"/>
  <c r="D131" i="123"/>
  <c r="D88" i="123"/>
  <c r="D132" i="123" s="1"/>
  <c r="D133" i="123" s="1"/>
  <c r="D134" i="123" s="1"/>
  <c r="D135" i="123" s="1"/>
  <c r="E54" i="294"/>
  <c r="E60" i="294"/>
  <c r="O45" i="140"/>
  <c r="O39" i="140"/>
  <c r="C60" i="294"/>
  <c r="C54" i="294"/>
  <c r="C44" i="127"/>
  <c r="C46" i="127" s="1"/>
  <c r="D8" i="123"/>
  <c r="L8" i="237"/>
  <c r="L6" i="237"/>
  <c r="D48" i="298"/>
  <c r="D50" i="298" s="1"/>
  <c r="D53" i="298" s="1"/>
  <c r="N28" i="298"/>
  <c r="N48" i="298" s="1"/>
  <c r="N50" i="298" s="1"/>
  <c r="N53" i="298" s="1"/>
  <c r="I17" i="123"/>
  <c r="H85" i="248"/>
  <c r="I102" i="123" s="1"/>
  <c r="H32" i="88"/>
  <c r="H84" i="248"/>
  <c r="I101" i="123" s="1"/>
  <c r="G56" i="86"/>
  <c r="H80" i="248"/>
  <c r="G77" i="338"/>
  <c r="G59" i="338"/>
  <c r="G66" i="338" s="1"/>
  <c r="G68" i="338" s="1"/>
  <c r="I88" i="123"/>
  <c r="I132" i="123" s="1"/>
  <c r="I133" i="123" s="1"/>
  <c r="I134" i="123" s="1"/>
  <c r="I135" i="123" s="1"/>
  <c r="F6" i="237"/>
  <c r="F8" i="237" s="1"/>
  <c r="N38" i="140"/>
  <c r="N39" i="140" s="1"/>
  <c r="H150" i="351"/>
  <c r="H141" i="351"/>
  <c r="F19" i="237" l="1"/>
  <c r="E48" i="86"/>
  <c r="E50" i="86" s="1"/>
  <c r="G6" i="123"/>
  <c r="K48" i="86"/>
  <c r="K50" i="86" s="1"/>
  <c r="M6" i="123"/>
  <c r="L19" i="237"/>
  <c r="C48" i="127"/>
  <c r="C57" i="128"/>
  <c r="C62" i="128" s="1"/>
  <c r="C70" i="128" s="1"/>
  <c r="C81" i="128" s="1"/>
  <c r="C58" i="127"/>
  <c r="M124" i="123" l="1"/>
  <c r="M133" i="123"/>
  <c r="M134" i="123" s="1"/>
  <c r="M135" i="123" s="1"/>
  <c r="G124" i="123"/>
  <c r="G133" i="123"/>
  <c r="G134" i="123" s="1"/>
  <c r="G135" i="123" s="1"/>
</calcChain>
</file>

<file path=xl/sharedStrings.xml><?xml version="1.0" encoding="utf-8"?>
<sst xmlns="http://schemas.openxmlformats.org/spreadsheetml/2006/main" count="5182" uniqueCount="2737">
  <si>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</si>
  <si>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</si>
  <si>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</si>
  <si>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</si>
  <si>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</si>
  <si>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</si>
  <si>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</si>
  <si>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</si>
  <si>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</si>
  <si>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</si>
  <si>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</si>
  <si>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</si>
  <si>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</si>
  <si>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</si>
  <si>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</si>
  <si>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</si>
  <si>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</si>
  <si>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</si>
  <si>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</si>
  <si>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</si>
  <si>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</si>
  <si>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Infrastructure - Electricity</t>
  </si>
  <si>
    <t>Generation</t>
  </si>
  <si>
    <t>Transmission &amp; Reticulation</t>
  </si>
  <si>
    <t>Infrastructure - Water</t>
  </si>
  <si>
    <t>Dams &amp; Reservoirs</t>
  </si>
  <si>
    <t>Water purification</t>
  </si>
  <si>
    <t>Reticulation</t>
  </si>
  <si>
    <t>Infrastructure - Sanitation</t>
  </si>
  <si>
    <t>Sewerage purification</t>
  </si>
  <si>
    <t>Infrastructure - Other</t>
  </si>
  <si>
    <t>Social rental housing</t>
  </si>
  <si>
    <t>Specialised vehicles</t>
  </si>
  <si>
    <t>7. Busses used to provide a service to the community</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</si>
  <si>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</si>
  <si>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</si>
  <si>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</si>
  <si>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</si>
  <si>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</si>
  <si>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</si>
  <si>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</si>
  <si>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</si>
  <si>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</si>
  <si>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</si>
  <si>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</si>
  <si>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</si>
  <si>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</si>
  <si>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</si>
  <si>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</si>
  <si>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</si>
  <si>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</si>
  <si>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KZN274 Hlabisa</t>
  </si>
  <si>
    <t>KZN275 Mtubatuba</t>
  </si>
  <si>
    <t>KZN282 uMhlathuze</t>
  </si>
  <si>
    <t>KZN283 Ntambanana</t>
  </si>
  <si>
    <t>KZN285 Mthonjaneni</t>
  </si>
  <si>
    <t>KZN286 Nkandla</t>
  </si>
  <si>
    <t>KZN291 Mandeni</t>
  </si>
  <si>
    <t>KZN292 KwaDukuza</t>
  </si>
  <si>
    <t>KZN293 Ndwedwe</t>
  </si>
  <si>
    <t>KZN294 Maphumulo</t>
  </si>
  <si>
    <t>KZN431 Ingwe</t>
  </si>
  <si>
    <t>KZN432 Kwa Sani</t>
  </si>
  <si>
    <t>KZN433 Greater Kokstad</t>
  </si>
  <si>
    <t>KZN434 Ubuhlebezwe</t>
  </si>
  <si>
    <t>KZN435 Umzimkhulu</t>
  </si>
  <si>
    <t>LIM331 Greater Giyani</t>
  </si>
  <si>
    <t>LIM332 Greater Letaba</t>
  </si>
  <si>
    <t>LIM333 Greater Tzaneen</t>
  </si>
  <si>
    <t>LIM334 Ba-Phalaborwa</t>
  </si>
  <si>
    <t>LIM335 Maruleng</t>
  </si>
  <si>
    <t>LIM341 Musina</t>
  </si>
  <si>
    <t>LIM342 Mutale</t>
  </si>
  <si>
    <t>LIM343 Thulamela</t>
  </si>
  <si>
    <t>LIM344 Makhado</t>
  </si>
  <si>
    <t>LIM351 Blouberg</t>
  </si>
  <si>
    <t>LIM352 Aganang</t>
  </si>
  <si>
    <t>LIM353 Molemole</t>
  </si>
  <si>
    <t>LIM354 Polokwane</t>
  </si>
  <si>
    <t>LIM355 Lepelle-Nkumpi</t>
  </si>
  <si>
    <t>LIM361 Thabazimbi</t>
  </si>
  <si>
    <t>LIM362 Lephalale</t>
  </si>
  <si>
    <t>LIM364 Mookgopong</t>
  </si>
  <si>
    <t>LIM365 Modimolle</t>
  </si>
  <si>
    <t>LIM366 Bela Bela</t>
  </si>
  <si>
    <t>LIM367 Mogalakwena</t>
  </si>
  <si>
    <t>LIM472 Elias Motsoaledi</t>
  </si>
  <si>
    <t>LIM474 Fetakgomo</t>
  </si>
  <si>
    <t>LIM475 Greater Tubatse</t>
  </si>
  <si>
    <t>MP316 Dr J.S. Moroka</t>
  </si>
  <si>
    <t>NW403 City Of Matlosana</t>
  </si>
  <si>
    <t>Choose name from list</t>
  </si>
  <si>
    <t>Name of Muni</t>
  </si>
  <si>
    <t>Name link</t>
  </si>
  <si>
    <t>Electricity Generation</t>
  </si>
  <si>
    <t>Air Transport</t>
  </si>
  <si>
    <t>Forestry</t>
  </si>
  <si>
    <t>Licensing &amp; Regulation</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</si>
  <si>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</si>
  <si>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</si>
  <si>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</si>
  <si>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</si>
  <si>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</si>
  <si>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</si>
  <si>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</si>
  <si>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</si>
  <si>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</si>
  <si>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</si>
  <si>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</si>
  <si>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</si>
  <si>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</si>
  <si>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</si>
  <si>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</si>
  <si>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</si>
  <si>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</si>
  <si>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</si>
  <si>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</si>
  <si>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</si>
  <si>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</si>
  <si>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</si>
  <si>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</si>
  <si>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</si>
  <si>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</si>
  <si>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</si>
  <si>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</si>
  <si>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</si>
  <si>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</si>
  <si>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</si>
  <si>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</si>
  <si>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</si>
  <si>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</si>
  <si>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</si>
  <si>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</si>
  <si>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5. Infrastructure includes 'land and buildings required' by that infrastructure and vehicles/plant &amp; equipment used by the service generated by that infrastructure</t>
  </si>
  <si>
    <t>% increase/-decrease</t>
  </si>
  <si>
    <t>5. Net assets must balance with Total Community Wealth/Equity</t>
  </si>
  <si>
    <t>Biological assets</t>
  </si>
  <si>
    <t>Street Lighting</t>
  </si>
  <si>
    <t>Gas</t>
  </si>
  <si>
    <t>sub-total</t>
  </si>
  <si>
    <t>4. All amounts must be classified under a Standard (modified GFS) classification. The GFS function 'Other' is only for Abbatoirs, Air Transport, Markets and Tourism - and if used must be supported by footnotes. Nothing else may be placed under 'Other'. Assign associate share to relevant classification</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</si>
  <si>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</si>
  <si>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</si>
  <si>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</si>
  <si>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</si>
  <si>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</si>
  <si>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</si>
  <si>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</si>
  <si>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</si>
  <si>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</si>
  <si>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</si>
  <si>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</si>
  <si>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</si>
  <si>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</si>
  <si>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</si>
  <si>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Minorities' interests</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</si>
  <si>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</si>
  <si>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</si>
  <si>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</si>
  <si>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</si>
  <si>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</si>
  <si>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</si>
  <si>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</si>
  <si>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</si>
  <si>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</si>
  <si>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</si>
  <si>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</si>
  <si>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</si>
  <si>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</si>
  <si>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</si>
  <si>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</si>
  <si>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</si>
  <si>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</si>
  <si>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</si>
  <si>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</si>
  <si>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</si>
  <si>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</si>
  <si>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</si>
  <si>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</si>
  <si>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</si>
  <si>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</si>
  <si>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EC134 Lukhanji</t>
  </si>
  <si>
    <t>EC135 Intsika Yethu</t>
  </si>
  <si>
    <t>EC137 Engcobo</t>
  </si>
  <si>
    <t>EC138 Sakhisizwe</t>
  </si>
  <si>
    <t>EC141 Elundini</t>
  </si>
  <si>
    <t>EC142 Senqu</t>
  </si>
  <si>
    <t>EC143 Maletswai</t>
  </si>
  <si>
    <t>2. Must reconcile to Budgeted Financial Performance (revenue and expenditure)</t>
  </si>
  <si>
    <t>1. Insert 'Vote'; e.g. department, if different to standard classification structure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</si>
  <si>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</si>
  <si>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</si>
  <si>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</si>
  <si>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</si>
  <si>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5. Must reconcile to Budgeted Financial Performance (revenue and expenditure)</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</si>
  <si>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</si>
  <si>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</si>
  <si>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</si>
  <si>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</si>
  <si>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</si>
  <si>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</si>
  <si>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</si>
  <si>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</si>
  <si>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</si>
  <si>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</si>
  <si>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</si>
  <si>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</si>
  <si>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</si>
  <si>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</si>
  <si>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</si>
  <si>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</si>
  <si>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</si>
  <si>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</si>
  <si>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</si>
  <si>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</si>
  <si>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NW401 Ventersdorp</t>
  </si>
  <si>
    <t>NW402 Tlokwe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</si>
  <si>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</si>
  <si>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</si>
  <si>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</si>
  <si>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</si>
  <si>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</si>
  <si>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</si>
  <si>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</si>
  <si>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</si>
  <si>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</si>
  <si>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</si>
  <si>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</si>
  <si>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</si>
  <si>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</si>
  <si>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</si>
  <si>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</si>
  <si>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</si>
  <si>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</si>
  <si>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</si>
  <si>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</si>
  <si>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</si>
  <si>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</si>
  <si>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</si>
  <si>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</si>
  <si>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</si>
  <si>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</si>
  <si>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</si>
  <si>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</si>
  <si>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</si>
  <si>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</si>
  <si>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</si>
  <si>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NC081 Mier</t>
  </si>
  <si>
    <t>NC082 !Kai! Garib</t>
  </si>
  <si>
    <t>NC083 //Khara Hais</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</si>
  <si>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</si>
  <si>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</si>
  <si>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</si>
  <si>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</si>
  <si>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</si>
  <si>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</si>
  <si>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</si>
  <si>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</si>
  <si>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</si>
  <si>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</si>
  <si>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</si>
  <si>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</si>
  <si>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</si>
  <si>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</si>
  <si>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Other governmental units - capital</t>
  </si>
  <si>
    <t>Total payments</t>
  </si>
  <si>
    <t>Increase/(decrease) in tax/consumer debtors</t>
  </si>
  <si>
    <t>Increase/(decrease) in other debtors</t>
  </si>
  <si>
    <t>Salaries &amp; Wages</t>
  </si>
  <si>
    <t>Social contributions</t>
  </si>
  <si>
    <t>Unauthorised expenditure</t>
  </si>
  <si>
    <t>Municipal agencies and accounts</t>
  </si>
  <si>
    <t>Households - social benefits</t>
  </si>
  <si>
    <t>Payment for capital assets</t>
  </si>
  <si>
    <t>Machinery and equipment</t>
  </si>
  <si>
    <t>Software and other intangible assets</t>
  </si>
  <si>
    <t>Receipts less payments</t>
  </si>
  <si>
    <t>Net increase/(decrease) in cash held</t>
  </si>
  <si>
    <t>Buildings and other fixed structures</t>
  </si>
  <si>
    <t>Sales of capital assets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</si>
  <si>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</si>
  <si>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</si>
  <si>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</si>
  <si>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</si>
  <si>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</si>
  <si>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</si>
  <si>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</si>
  <si>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</si>
  <si>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</si>
  <si>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</si>
  <si>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</si>
  <si>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</si>
  <si>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</si>
  <si>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</si>
  <si>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</si>
  <si>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</si>
  <si>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</si>
  <si>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</si>
  <si>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</si>
  <si>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</si>
  <si>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</si>
  <si>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</si>
  <si>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</si>
  <si>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</si>
  <si>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</si>
  <si>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Year</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</si>
  <si>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</si>
  <si>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</si>
  <si>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</si>
  <si>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</si>
  <si>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</si>
  <si>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</si>
  <si>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</si>
  <si>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</si>
  <si>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</si>
  <si>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</si>
  <si>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</si>
  <si>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</si>
  <si>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</si>
  <si>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2. Airports, Car Parks, Bus Terminals and Taxi Ranks</t>
  </si>
  <si>
    <t>Transportation</t>
  </si>
  <si>
    <t>Other Land</t>
  </si>
  <si>
    <t>Other Buildings</t>
  </si>
  <si>
    <t>4. Work-in-progress/under construction to be budgeted under the respective item</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</si>
  <si>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</si>
  <si>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</si>
  <si>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</si>
  <si>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</si>
  <si>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</si>
  <si>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</si>
  <si>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</si>
  <si>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</si>
  <si>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</si>
  <si>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</si>
  <si>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</si>
  <si>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Municipal Manager</t>
  </si>
  <si>
    <t>Human Resources</t>
  </si>
  <si>
    <t>Information Technology</t>
  </si>
  <si>
    <t>% of Creditors Paid Within Terms (within`MFMA' s 65(e))</t>
  </si>
  <si>
    <t>Libraries</t>
  </si>
  <si>
    <t>Description of financial indicator</t>
  </si>
  <si>
    <t>Electricity Distribution Losses (2)</t>
  </si>
  <si>
    <t>Investment payments</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</si>
  <si>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</si>
  <si>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</si>
  <si>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</si>
  <si>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</si>
  <si>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</si>
  <si>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</si>
  <si>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</si>
  <si>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</si>
  <si>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</si>
  <si>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</si>
  <si>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</si>
  <si>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</si>
  <si>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</si>
  <si>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</si>
  <si>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</si>
  <si>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</si>
  <si>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</si>
  <si>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</si>
  <si>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</si>
  <si>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</si>
  <si>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</si>
  <si>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</si>
  <si>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</si>
  <si>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</si>
  <si>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</si>
  <si>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</si>
  <si>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</si>
  <si>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</si>
  <si>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</si>
  <si>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</si>
  <si>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</si>
  <si>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</si>
  <si>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</si>
  <si>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</si>
  <si>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</si>
  <si>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</si>
  <si>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Revenue cost of free services provided (R'000)</t>
  </si>
  <si>
    <t>Property rates (R15 000 threshold rebate)</t>
  </si>
  <si>
    <t>Municipal Housing - rental rebates</t>
  </si>
  <si>
    <t>Housing - top structure subsidies</t>
  </si>
  <si>
    <t>Total revenue cost of free services provided (total social package)</t>
  </si>
  <si>
    <t>Increase (decrease) in consumer deposits</t>
  </si>
  <si>
    <t>Multi-year expenditure appropriation</t>
  </si>
  <si>
    <t>10. Ambulances, fire engines, refuse vehicles - but not vehicles that would normally be classified as 'Plant and equipment'</t>
  </si>
  <si>
    <t xml:space="preserve">  Infrastructure - Road transport</t>
  </si>
  <si>
    <t xml:space="preserve">  Infrastructure - Water</t>
  </si>
  <si>
    <t xml:space="preserve">  Infrastructure - Sanitation</t>
  </si>
  <si>
    <t>Repairs and Maintenance by Asset Class</t>
  </si>
  <si>
    <t>Cost of Free Basic Services provided (R'000)</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</si>
  <si>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</si>
  <si>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</si>
  <si>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</si>
  <si>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</si>
  <si>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</si>
  <si>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</si>
  <si>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</si>
  <si>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</si>
  <si>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</si>
  <si>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</si>
  <si>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Repairs and maintenance</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</si>
  <si>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</si>
  <si>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</si>
  <si>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</si>
  <si>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</si>
  <si>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</si>
  <si>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</si>
  <si>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</si>
  <si>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</si>
  <si>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</si>
  <si>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</si>
  <si>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</si>
  <si>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</si>
  <si>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</si>
  <si>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</si>
  <si>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</si>
  <si>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</si>
  <si>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</si>
  <si>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</si>
  <si>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</si>
  <si>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</si>
  <si>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</si>
  <si>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</si>
  <si>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</si>
  <si>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</si>
  <si>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</si>
  <si>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</si>
  <si>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</si>
  <si>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</si>
  <si>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</si>
  <si>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</si>
  <si>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</si>
  <si>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</si>
  <si>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</si>
  <si>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</si>
  <si>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</si>
  <si>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2. Must reconcile to Financial Performance ('Revenue and Expenditure by Standard Classification' and 'Revenue and Expenditure')</t>
  </si>
  <si>
    <t>Total Renewal of Existing Assets</t>
  </si>
  <si>
    <t>Total Property Rates</t>
  </si>
  <si>
    <t>less Revenue Foregone</t>
  </si>
  <si>
    <t>Net Property Rates</t>
  </si>
  <si>
    <t>Renewal of Existing Assets</t>
  </si>
  <si>
    <t>Repairs and Maintenance</t>
  </si>
  <si>
    <t>Positions</t>
  </si>
  <si>
    <t>Contract employees</t>
  </si>
  <si>
    <t>Municipal Council and Boards of Municipal Entities</t>
  </si>
  <si>
    <t>2. Total Revenue by standard classification must reconcile to Total Operating Revenue shown in Budgeted Financial Performance (revenue and expenditure)</t>
  </si>
  <si>
    <t>3. Total Expenditure by Standard Classification must reconcile to Total Operating Expenditure shown in Budgeted Financial Performance (revenue and expenditure)</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</si>
  <si>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</si>
  <si>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</si>
  <si>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</si>
  <si>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</si>
  <si>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</si>
  <si>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</si>
  <si>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6. Donated/contributed and assets funded by finance leases to be allocated to the respective category</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</si>
  <si>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</si>
  <si>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</si>
  <si>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</si>
  <si>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</si>
  <si>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</si>
  <si>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</si>
  <si>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</si>
  <si>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</si>
  <si>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</si>
  <si>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</si>
  <si>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</si>
  <si>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</si>
  <si>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</si>
  <si>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</si>
  <si>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</si>
  <si>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</si>
  <si>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</si>
  <si>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</si>
  <si>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</si>
  <si>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</si>
  <si>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</si>
  <si>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</si>
  <si>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</si>
  <si>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</si>
  <si>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</si>
  <si>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</si>
  <si>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</si>
  <si>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</si>
  <si>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</si>
  <si>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</si>
  <si>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</si>
  <si>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</si>
  <si>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</si>
  <si>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</si>
  <si>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</si>
  <si>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</si>
  <si>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</si>
  <si>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</si>
  <si>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</si>
  <si>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</si>
  <si>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</si>
  <si>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7. Including repairs and maintenance to agricultural, biological and intangible assets</t>
  </si>
  <si>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</si>
  <si>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</si>
  <si>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</si>
  <si>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</si>
  <si>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</si>
  <si>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</si>
  <si>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</si>
  <si>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</si>
  <si>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</si>
  <si>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</si>
  <si>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</si>
  <si>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</si>
  <si>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</si>
  <si>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</si>
  <si>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5. Must agree to total number of households in municipal area</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</si>
  <si>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</si>
  <si>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</si>
  <si>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</si>
  <si>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</si>
  <si>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</si>
  <si>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</si>
  <si>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</si>
  <si>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</si>
  <si>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</si>
  <si>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</si>
  <si>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</si>
  <si>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</si>
  <si>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</si>
  <si>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</si>
  <si>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</si>
  <si>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</si>
  <si>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</si>
  <si>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</si>
  <si>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</si>
  <si>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</si>
  <si>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Infrastructure - Road transport</t>
  </si>
  <si>
    <t>Roads, Pavements &amp; Bridges</t>
  </si>
  <si>
    <t>Storm water</t>
  </si>
  <si>
    <t>Renewal and R&amp;M as a % of PPE</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</si>
  <si>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</si>
  <si>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</si>
  <si>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</si>
  <si>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</si>
  <si>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</si>
  <si>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</si>
  <si>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</si>
  <si>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</si>
  <si>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</si>
  <si>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</si>
  <si>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</si>
  <si>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</si>
  <si>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</si>
  <si>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</si>
  <si>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</si>
  <si>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</si>
  <si>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Monetary value</t>
  </si>
  <si>
    <t>Interest to be realised</t>
  </si>
  <si>
    <t>check borrowing balance</t>
  </si>
  <si>
    <t>Instalment Credit</t>
  </si>
  <si>
    <t>Financial Leases</t>
  </si>
  <si>
    <t>H</t>
  </si>
  <si>
    <t>I</t>
  </si>
  <si>
    <t>Other Managers</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</si>
  <si>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</si>
  <si>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</si>
  <si>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</si>
  <si>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</si>
  <si>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</si>
  <si>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</si>
  <si>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 xml:space="preserve">Economic Development/Planning </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</si>
  <si>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</si>
  <si>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</si>
  <si>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</si>
  <si>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</si>
  <si>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</si>
  <si>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</si>
  <si>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</si>
  <si>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</si>
  <si>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</si>
  <si>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</si>
  <si>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</si>
  <si>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</si>
  <si>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</si>
  <si>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</si>
  <si>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</si>
  <si>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</si>
  <si>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</si>
  <si>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</si>
  <si>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</si>
  <si>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</si>
  <si>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</si>
  <si>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</si>
  <si>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</si>
  <si>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</si>
  <si>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</si>
  <si>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</si>
  <si>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</si>
  <si>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</si>
  <si>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</si>
  <si>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</si>
  <si>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</si>
  <si>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</si>
  <si>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Transfers received</t>
  </si>
  <si>
    <t xml:space="preserve">Compensation of employees </t>
  </si>
  <si>
    <t xml:space="preserve">Goods and services </t>
  </si>
  <si>
    <t>Interest, dividends and rent on land</t>
  </si>
  <si>
    <t>Dividends</t>
  </si>
  <si>
    <t>Rent on land</t>
  </si>
  <si>
    <t>Transfers and subsidies</t>
  </si>
  <si>
    <t>Administrative fees</t>
  </si>
  <si>
    <t>International organisations</t>
  </si>
  <si>
    <t>Public corporations and private enterprises</t>
  </si>
  <si>
    <t>Fines, penalties and forfeits</t>
  </si>
  <si>
    <t>Land and subsoil assets</t>
  </si>
  <si>
    <t>Equity</t>
  </si>
  <si>
    <r>
      <t xml:space="preserve">Other </t>
    </r>
    <r>
      <rPr>
        <i/>
        <sz val="8"/>
        <rFont val="Arial Narrow"/>
        <family val="2"/>
      </rPr>
      <t>(list sub-class)</t>
    </r>
  </si>
  <si>
    <t>Other capital assets</t>
  </si>
  <si>
    <t>Financial transactions in assets and liabilities</t>
  </si>
  <si>
    <t>Tax receipts</t>
  </si>
  <si>
    <t>Sale of goods &amp; services (excl. capital assets)</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</si>
  <si>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</si>
  <si>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</si>
  <si>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</si>
  <si>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</si>
  <si>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</si>
  <si>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</si>
  <si>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</si>
  <si>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 xml:space="preserve">Town Planning/Building enforcement </t>
  </si>
  <si>
    <t>Tourism</t>
  </si>
  <si>
    <t>Ambulance</t>
  </si>
  <si>
    <t xml:space="preserve">Other   </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</si>
  <si>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</si>
  <si>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</si>
  <si>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</si>
  <si>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</si>
  <si>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</si>
  <si>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</si>
  <si>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</si>
  <si>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</si>
  <si>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</si>
  <si>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</si>
  <si>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</si>
  <si>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</si>
  <si>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</si>
  <si>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</si>
  <si>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</si>
  <si>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</si>
  <si>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</si>
  <si>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</si>
  <si>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1996 Census</t>
  </si>
  <si>
    <t>Demographics</t>
  </si>
  <si>
    <t>1. Insert 'Vote'; e.g. Department, if different to standard structure</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</si>
  <si>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</si>
  <si>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</si>
  <si>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</si>
  <si>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</si>
  <si>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</si>
  <si>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</si>
  <si>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</si>
  <si>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</si>
  <si>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</si>
  <si>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</si>
  <si>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</si>
  <si>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</si>
  <si>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</si>
  <si>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</si>
  <si>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</si>
  <si>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</si>
  <si>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</si>
  <si>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</si>
  <si>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</si>
  <si>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</si>
  <si>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</si>
  <si>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</si>
  <si>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</si>
  <si>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</si>
  <si>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2 = partial compliance (schedule/table presented with approximately 50% of information displayed)</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</si>
  <si>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</si>
  <si>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</si>
  <si>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</si>
  <si>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</si>
  <si>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</si>
  <si>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</si>
  <si>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</si>
  <si>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</si>
  <si>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</si>
  <si>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</si>
  <si>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</si>
  <si>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</si>
  <si>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</si>
  <si>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 xml:space="preserve">  Infrastructure - Other</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</si>
  <si>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</si>
  <si>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</si>
  <si>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</si>
  <si>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</si>
  <si>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</si>
  <si>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</si>
  <si>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</si>
  <si>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</si>
  <si>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</si>
  <si>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</si>
  <si>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</si>
  <si>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</si>
  <si>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</si>
  <si>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</si>
  <si>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</si>
  <si>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</si>
  <si>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</si>
  <si>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</si>
  <si>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</si>
  <si>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</si>
  <si>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</si>
  <si>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</si>
  <si>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</si>
  <si>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</si>
  <si>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</si>
  <si>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</si>
  <si>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</si>
  <si>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</si>
  <si>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</si>
  <si>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</si>
  <si>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</si>
  <si>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</si>
  <si>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</si>
  <si>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</si>
  <si>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</si>
  <si>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</si>
  <si>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</si>
  <si>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</si>
  <si>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</si>
  <si>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Biodiversity &amp; Landscape</t>
  </si>
  <si>
    <t>Solid Waste</t>
  </si>
  <si>
    <t>Sewerage</t>
  </si>
  <si>
    <t>Storm Water Management</t>
  </si>
  <si>
    <t>Public Toilets</t>
  </si>
  <si>
    <t>Roads</t>
  </si>
  <si>
    <t>Public Buses</t>
  </si>
  <si>
    <t>Parking Garages</t>
  </si>
  <si>
    <t>Water Distribution</t>
  </si>
  <si>
    <t>Water Storage</t>
  </si>
  <si>
    <t>Electricity Distribution</t>
  </si>
  <si>
    <t>Set name on 'Instructions' sheet</t>
  </si>
  <si>
    <t>Highest level of free service provided</t>
  </si>
  <si>
    <t>Property rates (other exemptions, reductions and rebates)</t>
  </si>
  <si>
    <t>Removed at least once a week</t>
  </si>
  <si>
    <t xml:space="preserve">Total cost of FBS provided (minimum social package) </t>
  </si>
  <si>
    <t>7. Show number of households receiving at least these levels of services completely free</t>
  </si>
  <si>
    <t>Total outstanding service debtors/annual revenue received for services</t>
  </si>
  <si>
    <t>No. of successful objections &gt; 10%</t>
  </si>
  <si>
    <t>No. of supplementary valuations</t>
  </si>
  <si>
    <t>No. of valuation roll amendments</t>
  </si>
  <si>
    <t xml:space="preserve">  Infrastructure - Electricity</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</si>
  <si>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</si>
  <si>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</si>
  <si>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</si>
  <si>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</si>
  <si>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</si>
  <si>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</si>
  <si>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</si>
  <si>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</si>
  <si>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</si>
  <si>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</si>
  <si>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</si>
  <si>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</si>
  <si>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</si>
  <si>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</si>
  <si>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</si>
  <si>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</si>
  <si>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</si>
  <si>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</si>
  <si>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</si>
  <si>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</si>
  <si>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</si>
  <si>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</si>
  <si>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</si>
  <si>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</si>
  <si>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</si>
  <si>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</si>
  <si>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</si>
  <si>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</si>
  <si>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</si>
  <si>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</si>
  <si>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</si>
  <si>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</si>
  <si>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</si>
  <si>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</si>
  <si>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</si>
  <si>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</si>
  <si>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</si>
  <si>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</si>
  <si>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</si>
  <si>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</si>
  <si>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</si>
  <si>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</si>
  <si>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</si>
  <si>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</si>
  <si>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</si>
  <si>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</si>
  <si>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</si>
  <si>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</si>
  <si>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</si>
  <si>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</si>
  <si>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</si>
  <si>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</si>
  <si>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</si>
  <si>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</si>
  <si>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</si>
  <si>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</si>
  <si>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</si>
  <si>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</si>
  <si>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</si>
  <si>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</si>
  <si>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</si>
  <si>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</si>
  <si>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Museums &amp; Art Galleries etc</t>
  </si>
  <si>
    <t>Community halls and Facilities</t>
  </si>
  <si>
    <t>Cemeteries &amp; Crematoriums</t>
  </si>
  <si>
    <t>Vehicle Licensing and Testing</t>
  </si>
  <si>
    <t>Contributions recognised - capital</t>
  </si>
  <si>
    <t>List contributions by contract</t>
  </si>
  <si>
    <t>Call deposits &lt; 90 days</t>
  </si>
  <si>
    <t>Less: Accumulated depreciation</t>
  </si>
  <si>
    <t>8. Must reflect the cost to the municipality of providing the Free Basic Service</t>
  </si>
  <si>
    <t xml:space="preserve">1. Note that this section of Table SA 30 is deliberately not linked to Table A4 because timing differences between the invoicing of clients and receiving the cash means that the cashflow will differ from budgeted revenue, and similarly for budgeted expenditure. </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</si>
  <si>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</si>
  <si>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</si>
  <si>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</si>
  <si>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</si>
  <si>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</si>
  <si>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</si>
  <si>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</si>
  <si>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</si>
  <si>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</si>
  <si>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</si>
  <si>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</si>
  <si>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</si>
  <si>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GT482 Randfontein</t>
  </si>
  <si>
    <t>GT483 Westonaria</t>
  </si>
  <si>
    <t>MP301 Albert Luthuli</t>
  </si>
  <si>
    <t>MP302 Msukaligwa</t>
  </si>
  <si>
    <t>MP303 Mkhondo</t>
  </si>
  <si>
    <t>MP305 Lekwa</t>
  </si>
  <si>
    <t>MP306 Dipaleseng</t>
  </si>
  <si>
    <t>MP307 Govan Mbeki</t>
  </si>
  <si>
    <t>MP313 Steve Tshwete</t>
  </si>
  <si>
    <t>MP314 Emakhazeni</t>
  </si>
  <si>
    <t>MP321 Thaba Chweu</t>
  </si>
  <si>
    <t>MP322 Mbombela</t>
  </si>
  <si>
    <t>MP323 Umjindi</t>
  </si>
  <si>
    <t>MP324 Nkomazi</t>
  </si>
  <si>
    <t>MP325 Bushbuckridge</t>
  </si>
  <si>
    <t>NC061 Richtersveld</t>
  </si>
  <si>
    <t>NC062 Nama Khoi</t>
  </si>
  <si>
    <t>NC064 Kamiesberg</t>
  </si>
  <si>
    <t>NC065 Hantam</t>
  </si>
  <si>
    <t>NC066 Karoo Hoogland</t>
  </si>
  <si>
    <t>NC067 Khai-Ma</t>
  </si>
  <si>
    <t>EC144 Gariep</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</si>
  <si>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</si>
  <si>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</si>
  <si>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</si>
  <si>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</si>
  <si>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</si>
  <si>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</si>
  <si>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</si>
  <si>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</si>
  <si>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</si>
  <si>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</si>
  <si>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</si>
  <si>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</si>
  <si>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</si>
  <si>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</si>
  <si>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</si>
  <si>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</si>
  <si>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</si>
  <si>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</si>
  <si>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</si>
  <si>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2. Refer MFMA s30</t>
  </si>
  <si>
    <t>Present value</t>
  </si>
  <si>
    <t>Forecasts</t>
  </si>
  <si>
    <t>Future operational costs by vote</t>
  </si>
  <si>
    <t>Future revenue by source</t>
  </si>
  <si>
    <t>Net Financial Implications</t>
  </si>
  <si>
    <t>Intangibles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</si>
  <si>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</si>
  <si>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</si>
  <si>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</si>
  <si>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</si>
  <si>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</si>
  <si>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</si>
  <si>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</si>
  <si>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</si>
  <si>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</si>
  <si>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</si>
  <si>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</si>
  <si>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</si>
  <si>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</si>
  <si>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</si>
  <si>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</si>
  <si>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</si>
  <si>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</si>
  <si>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</si>
  <si>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</si>
  <si>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</si>
  <si>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</si>
  <si>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</si>
  <si>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</si>
  <si>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</si>
  <si>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</si>
  <si>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</si>
  <si>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</si>
  <si>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</si>
  <si>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</si>
  <si>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3. For example - technology backbones (e.g. fibre optic, WIFI infrastructure) for economic development purposes</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</si>
  <si>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</si>
  <si>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</si>
  <si>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</si>
  <si>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</si>
  <si>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</si>
  <si>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</si>
  <si>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</si>
  <si>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</si>
  <si>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</si>
  <si>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</si>
  <si>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</si>
  <si>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</si>
  <si>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</si>
  <si>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</si>
  <si>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</si>
  <si>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</si>
  <si>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</si>
  <si>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</si>
  <si>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</si>
  <si>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</si>
  <si>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</si>
  <si>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</si>
  <si>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</si>
  <si>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</si>
  <si>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</si>
  <si>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</si>
  <si>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</si>
  <si>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</si>
  <si>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</si>
  <si>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</si>
  <si>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</si>
  <si>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</si>
  <si>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</si>
  <si>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</si>
  <si>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</si>
  <si>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</si>
  <si>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</si>
  <si>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</si>
  <si>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</si>
  <si>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</si>
  <si>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</si>
  <si>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</si>
  <si>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</si>
  <si>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</si>
  <si>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Trade and other creditors</t>
  </si>
  <si>
    <t>Asset register summary (WDV)</t>
  </si>
  <si>
    <t>Security and policing</t>
  </si>
  <si>
    <t>Cash/cash equivalents at the month/year end:</t>
  </si>
  <si>
    <t>Cash/cash equivalents at the month/year begin:</t>
  </si>
  <si>
    <t>Heritage assets</t>
  </si>
  <si>
    <t>Investment properties</t>
  </si>
  <si>
    <t>Other assets</t>
  </si>
  <si>
    <t>Municipal Vote/Capital project</t>
  </si>
  <si>
    <t>Examples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</si>
  <si>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</si>
  <si>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</si>
  <si>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</si>
  <si>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</si>
  <si>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</si>
  <si>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</si>
  <si>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</si>
  <si>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</si>
  <si>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</si>
  <si>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</si>
  <si>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</si>
  <si>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</si>
  <si>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</si>
  <si>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</si>
  <si>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</si>
  <si>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</si>
  <si>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</si>
  <si>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</si>
  <si>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</si>
  <si>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</si>
  <si>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</si>
  <si>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</si>
  <si>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</si>
  <si>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Investment receipts</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</si>
  <si>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</si>
  <si>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</si>
  <si>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</si>
  <si>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</si>
  <si>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</si>
  <si>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</si>
  <si>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</si>
  <si>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</si>
  <si>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</si>
  <si>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</si>
  <si>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</si>
  <si>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</si>
  <si>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</si>
  <si>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</si>
  <si>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</si>
  <si>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</si>
  <si>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</si>
  <si>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</si>
  <si>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</si>
  <si>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</si>
  <si>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</si>
  <si>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</si>
  <si>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</si>
  <si>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</si>
  <si>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</si>
  <si>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</si>
  <si>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</si>
  <si>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</si>
  <si>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</si>
  <si>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</si>
  <si>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</si>
  <si>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</si>
  <si>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</si>
  <si>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</si>
  <si>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</si>
  <si>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</si>
  <si>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</si>
  <si>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</si>
  <si>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</si>
  <si>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</si>
  <si>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DC10 Cacadu</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</si>
  <si>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</si>
  <si>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</si>
  <si>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</si>
  <si>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</si>
  <si>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</si>
  <si>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</si>
  <si>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3. Capital expenditure by standard classification must reconcile to the appropriations by vote</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</si>
  <si>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</si>
  <si>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</si>
  <si>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</si>
  <si>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</si>
  <si>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</si>
  <si>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</si>
  <si>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</si>
  <si>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</si>
  <si>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</si>
  <si>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</si>
  <si>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</si>
  <si>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</si>
  <si>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</si>
  <si>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</si>
  <si>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</si>
  <si>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</si>
  <si>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</si>
  <si>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</si>
  <si>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</si>
  <si>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</si>
  <si>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</si>
  <si>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</si>
  <si>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</si>
  <si>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Other Admin</t>
  </si>
  <si>
    <t>List all capital projects grouped by Municipal Vote</t>
  </si>
  <si>
    <t>Program/Project description</t>
  </si>
  <si>
    <t>Total Project Estimate</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</si>
  <si>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</si>
  <si>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</si>
  <si>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</si>
  <si>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</si>
  <si>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</si>
  <si>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</si>
  <si>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</si>
  <si>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</si>
  <si>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</si>
  <si>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</si>
  <si>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</si>
  <si>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</si>
  <si>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</si>
  <si>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</si>
  <si>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</si>
  <si>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</si>
  <si>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</si>
  <si>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</si>
  <si>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</si>
  <si>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</si>
  <si>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</si>
  <si>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</si>
  <si>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</si>
  <si>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</si>
  <si>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</si>
  <si>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</si>
  <si>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</si>
  <si>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</si>
  <si>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</si>
  <si>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</si>
  <si>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</si>
  <si>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</si>
  <si>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</si>
  <si>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</si>
  <si>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</si>
  <si>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</si>
  <si>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</si>
  <si>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</si>
  <si>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</si>
  <si>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</si>
  <si>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</si>
  <si>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</si>
  <si>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</si>
  <si>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</si>
  <si>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</si>
  <si>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</si>
  <si>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</si>
  <si>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</si>
  <si>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</si>
  <si>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</si>
  <si>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</si>
  <si>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</si>
  <si>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</si>
  <si>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</si>
  <si>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</si>
  <si>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</si>
  <si>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</si>
  <si>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</si>
  <si>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</si>
  <si>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</si>
  <si>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</si>
  <si>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</si>
  <si>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</si>
  <si>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</si>
  <si>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</si>
  <si>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</si>
  <si>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</si>
  <si>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</si>
  <si>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</si>
  <si>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</si>
  <si>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</si>
  <si>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</si>
  <si>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</si>
  <si>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</si>
  <si>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</si>
  <si>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</si>
  <si>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</si>
  <si>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</si>
  <si>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</si>
  <si>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DC28 uThungulu</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</si>
  <si>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</si>
  <si>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</si>
  <si>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</si>
  <si>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</si>
  <si>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</si>
  <si>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</si>
  <si>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</si>
  <si>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</si>
  <si>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</si>
  <si>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</si>
  <si>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</si>
  <si>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</si>
  <si>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</si>
  <si>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</si>
  <si>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</si>
  <si>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</si>
  <si>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</si>
  <si>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</si>
  <si>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</si>
  <si>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</si>
  <si>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</si>
  <si>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</si>
  <si>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</si>
  <si>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DC4 Eden</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</si>
  <si>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</si>
  <si>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</si>
  <si>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</si>
  <si>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</si>
  <si>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</si>
  <si>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</si>
  <si>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</si>
  <si>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</si>
  <si>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DC43 Sisonke</t>
  </si>
  <si>
    <t>DC48 West Rand</t>
  </si>
  <si>
    <t>DC5 Central Karoo</t>
  </si>
  <si>
    <t>DC6 Namakwa</t>
  </si>
  <si>
    <t>NC NORTHERN CAPE</t>
  </si>
  <si>
    <t>DC8 Siyanda</t>
  </si>
  <si>
    <t>DC9 Frances Baard</t>
  </si>
  <si>
    <t>EC101 Camdeboo</t>
  </si>
  <si>
    <t>EC102 Blue Crane Route</t>
  </si>
  <si>
    <t>EC103 Ikwezi</t>
  </si>
  <si>
    <t>EC104 Makana</t>
  </si>
  <si>
    <t>EC105 Ndlambe</t>
  </si>
  <si>
    <t>EC106 Sundays River Valley</t>
  </si>
  <si>
    <t>EC107 Baviaans</t>
  </si>
  <si>
    <t>EC108 Kouga</t>
  </si>
  <si>
    <t>EC121 Mbhashe</t>
  </si>
  <si>
    <t>EC122 Mnquma</t>
  </si>
  <si>
    <t>EC123 Great Kei</t>
  </si>
  <si>
    <t>EC124 Amahlathi</t>
  </si>
  <si>
    <t>EC126 Ngqushwa</t>
  </si>
  <si>
    <t>EC127 Nkonkobe</t>
  </si>
  <si>
    <t>EC128 Nxuba</t>
  </si>
  <si>
    <t>EC131 Inxuba Yethemba</t>
  </si>
  <si>
    <t>EC132 Tsolwana</t>
  </si>
  <si>
    <t>EC133 Inkwanca</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</si>
  <si>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</si>
  <si>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7. Equity method</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</si>
  <si>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</si>
  <si>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</si>
  <si>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</si>
  <si>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</si>
  <si>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</si>
  <si>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</si>
  <si>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</si>
  <si>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</si>
  <si>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</si>
  <si>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</si>
  <si>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</si>
  <si>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</si>
  <si>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</si>
  <si>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</si>
  <si>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</si>
  <si>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</si>
  <si>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</si>
  <si>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</si>
  <si>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</si>
  <si>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</si>
  <si>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</si>
  <si>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</si>
  <si>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</si>
  <si>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1. Total Capital Expenditure  on renewal of existing assets (SA34b) plus Total Capital Expenditure on new assets (SA34a) must reconcile to total capital expenditure in Budgeted Capital Expenditure</t>
  </si>
  <si>
    <t>Capital expenditure on new assets by Asset Class/Sub-class</t>
  </si>
  <si>
    <t>Total Capital Expenditure on new assets</t>
  </si>
  <si>
    <t>1. Total Capital Expenditure on new assets (SA34a) plus Total Capital Expenditure on renewal of existing assets (SA34b) must reconcile to total capital expenditure in Budgeted Capital Expenditure</t>
  </si>
  <si>
    <t>6, 7</t>
  </si>
  <si>
    <t>Other toilet provisions (&lt; min.service level)</t>
  </si>
  <si>
    <t>Electricity (at least min.service level)</t>
  </si>
  <si>
    <t>Provincial - capex</t>
  </si>
  <si>
    <t xml:space="preserve">  Other transfers/grants [insert description]</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</si>
  <si>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</si>
  <si>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</si>
  <si>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</si>
  <si>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</si>
  <si>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</si>
  <si>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</si>
  <si>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</si>
  <si>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</si>
  <si>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</si>
  <si>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</si>
  <si>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</si>
  <si>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</si>
  <si>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</si>
  <si>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</si>
  <si>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</si>
  <si>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</si>
  <si>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</si>
  <si>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List sub-class</t>
  </si>
  <si>
    <t>DoRA operating</t>
  </si>
  <si>
    <t>5. Repairs &amp; maintenance detailed in Table A9 and Table SA34c</t>
  </si>
  <si>
    <t>Forecast Cash Flow</t>
  </si>
  <si>
    <t>Entity 2</t>
  </si>
  <si>
    <t>Entity 3</t>
  </si>
  <si>
    <t>Ent2</t>
  </si>
  <si>
    <t>Ent3</t>
  </si>
  <si>
    <t>Top level</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</si>
  <si>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</si>
  <si>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</si>
  <si>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</si>
  <si>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</si>
  <si>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</si>
  <si>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</si>
  <si>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</si>
  <si>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</si>
  <si>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</si>
  <si>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</si>
  <si>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</si>
  <si>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</si>
  <si>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</si>
  <si>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</si>
  <si>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</si>
  <si>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</si>
  <si>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</si>
  <si>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</si>
  <si>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</si>
  <si>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</si>
  <si>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</si>
  <si>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</si>
  <si>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</si>
  <si>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</si>
  <si>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</si>
  <si>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</si>
  <si>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Rand thousand</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</si>
  <si>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</si>
  <si>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</si>
  <si>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</si>
  <si>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</si>
  <si>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</si>
  <si>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</si>
  <si>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</si>
  <si>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</si>
  <si>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</si>
  <si>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</si>
  <si>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</si>
  <si>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</si>
  <si>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</si>
  <si>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</si>
  <si>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</si>
  <si>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</si>
  <si>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</si>
  <si>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</si>
  <si>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</si>
  <si>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</si>
  <si>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</si>
  <si>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</si>
  <si>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Sanitation (free sanitation service)</t>
  </si>
  <si>
    <t>Electricity/other energy (50kwh per household per month)</t>
  </si>
  <si>
    <t>Refuse (removed once a week)</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</si>
  <si>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</si>
  <si>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</si>
  <si>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</si>
  <si>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</si>
  <si>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</si>
  <si>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</si>
  <si>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</si>
  <si>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</si>
  <si>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</si>
  <si>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</si>
  <si>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</si>
  <si>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</si>
  <si>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</si>
  <si>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</si>
  <si>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</si>
  <si>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</si>
  <si>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</si>
  <si>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8. Not municipal contributions to the 'top structure' being built using the housing subsidies</t>
  </si>
  <si>
    <t>9. Statues, art collections, medals etc.</t>
  </si>
  <si>
    <t>1. Insert description listed by municipal name and demarcation code of recipient</t>
  </si>
  <si>
    <t>Depreciation offsets</t>
  </si>
  <si>
    <t>B</t>
  </si>
  <si>
    <t>Chart 11</t>
  </si>
  <si>
    <t>Chart 12</t>
  </si>
  <si>
    <t>Chart 13</t>
  </si>
  <si>
    <t>Chart 14</t>
  </si>
  <si>
    <t>RSC levies</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</si>
  <si>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</si>
  <si>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</si>
  <si>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</si>
  <si>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</si>
  <si>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</si>
  <si>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</si>
  <si>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</si>
  <si>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</si>
  <si>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</si>
  <si>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</si>
  <si>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</si>
  <si>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</si>
  <si>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</si>
  <si>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</si>
  <si>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</si>
  <si>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</si>
  <si>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</si>
  <si>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</si>
  <si>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New or renewal</t>
  </si>
  <si>
    <t>Project information</t>
  </si>
  <si>
    <t>Ward location</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</si>
  <si>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</si>
  <si>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</si>
  <si>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</si>
  <si>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</si>
  <si>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</si>
  <si>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</si>
  <si>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</si>
  <si>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</si>
  <si>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</si>
  <si>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</si>
  <si>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</si>
  <si>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</si>
  <si>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</si>
  <si>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</si>
  <si>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</si>
  <si>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</si>
  <si>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</si>
  <si>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</si>
  <si>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</si>
  <si>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</si>
  <si>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</si>
  <si>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</si>
  <si>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</si>
  <si>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</si>
  <si>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</si>
  <si>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</si>
  <si>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</si>
  <si>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</si>
  <si>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</si>
  <si>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</si>
  <si>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</si>
  <si>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</si>
  <si>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</si>
  <si>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</si>
  <si>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</si>
  <si>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</si>
  <si>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</si>
  <si>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</si>
  <si>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</si>
  <si>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</si>
  <si>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</si>
  <si>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</si>
  <si>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</si>
  <si>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</si>
  <si>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</si>
  <si>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</si>
  <si>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</si>
  <si>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</si>
  <si>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</si>
  <si>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</si>
  <si>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</si>
  <si>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</si>
  <si>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</si>
  <si>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</si>
  <si>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</si>
  <si>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</si>
  <si>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</si>
  <si>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</si>
  <si>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</si>
  <si>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</si>
  <si>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</si>
  <si>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</si>
  <si>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</si>
  <si>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</si>
  <si>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</si>
  <si>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Financing</t>
  </si>
  <si>
    <t>Check changes in cash flow receivables apportioned</t>
  </si>
  <si>
    <t>Check total payments - Cash Flow Budget</t>
  </si>
  <si>
    <t>Check total receipts = Cash Flow Budget</t>
  </si>
  <si>
    <t>Negative income adjustment</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</si>
  <si>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</si>
  <si>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</si>
  <si>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</si>
  <si>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</si>
  <si>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</si>
  <si>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</si>
  <si>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</si>
  <si>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</si>
  <si>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</si>
  <si>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</si>
  <si>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</si>
  <si>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</si>
  <si>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</si>
  <si>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</si>
  <si>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</si>
  <si>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</si>
  <si>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</si>
  <si>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</si>
  <si>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</si>
  <si>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</si>
  <si>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Cash Flow categories &amp; sub-categories</t>
  </si>
  <si>
    <t>Asset Management</t>
  </si>
  <si>
    <t>Supporting table level</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</si>
  <si>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</si>
  <si>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</si>
  <si>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</si>
  <si>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</si>
  <si>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</si>
  <si>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</si>
  <si>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</si>
  <si>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</si>
  <si>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</si>
  <si>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</si>
  <si>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</si>
  <si>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</si>
  <si>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</si>
  <si>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</si>
  <si>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</si>
  <si>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Ratepayers and other</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</si>
  <si>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</si>
  <si>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</si>
  <si>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</si>
  <si>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</si>
  <si>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</si>
  <si>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</si>
  <si>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</si>
  <si>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</si>
  <si>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</si>
  <si>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</si>
  <si>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</si>
  <si>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</si>
  <si>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</si>
  <si>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List all capital projects grouped by Municipal Entity</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</si>
  <si>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</si>
  <si>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</si>
  <si>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</si>
  <si>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</si>
  <si>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</si>
  <si>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</si>
  <si>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</si>
  <si>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</si>
  <si>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</si>
  <si>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</si>
  <si>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</si>
  <si>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</si>
  <si>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</si>
  <si>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</si>
  <si>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</si>
  <si>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</si>
  <si>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</si>
  <si>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</si>
  <si>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</si>
  <si>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</si>
  <si>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</si>
  <si>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</si>
  <si>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</si>
  <si>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</si>
  <si>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</si>
  <si>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</si>
  <si>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</si>
  <si>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</si>
  <si>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Fire</t>
  </si>
  <si>
    <t>Buses</t>
  </si>
  <si>
    <t>Ent1</t>
  </si>
  <si>
    <t>Other materials</t>
  </si>
  <si>
    <t>TOTAL BUDGET PHASE-IN/COMPLIANCE ASSESSMENT SCORE:</t>
  </si>
  <si>
    <t>Score *</t>
  </si>
  <si>
    <t>* scaled to score out of 100</t>
  </si>
  <si>
    <t>Total weighting and score:</t>
  </si>
  <si>
    <t>Dividends received</t>
  </si>
  <si>
    <t>Proceeds on disposal of PPE</t>
  </si>
  <si>
    <t>1, 2</t>
  </si>
  <si>
    <t>Head46</t>
  </si>
  <si>
    <t xml:space="preserve"> - Adjustments Budget - January 2007</t>
  </si>
  <si>
    <t>Other benefits and allowances</t>
  </si>
  <si>
    <t>Agricultural assets</t>
  </si>
  <si>
    <t>Agricultural Assets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</si>
  <si>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</si>
  <si>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</si>
  <si>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</si>
  <si>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</si>
  <si>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</si>
  <si>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</si>
  <si>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</si>
  <si>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</si>
  <si>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</si>
  <si>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1. Must reconcile with Budgeted Capital Expenditure</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</si>
  <si>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</si>
  <si>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</si>
  <si>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</si>
  <si>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</si>
  <si>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</si>
  <si>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</si>
  <si>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</si>
  <si>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</si>
  <si>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</si>
  <si>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</si>
  <si>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</si>
  <si>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</si>
  <si>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</si>
  <si>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</si>
  <si>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</si>
  <si>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Other current investments &gt; 90 days</t>
  </si>
  <si>
    <t>Total refuse removal revenue</t>
  </si>
  <si>
    <t>Total landfill revenue</t>
  </si>
  <si>
    <t>NET INCREASE/ (DECREASE) IN CASH HELD</t>
  </si>
  <si>
    <t>Community</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</si>
  <si>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</si>
  <si>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</si>
  <si>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</si>
  <si>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</si>
  <si>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</si>
  <si>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</si>
  <si>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</si>
  <si>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</si>
  <si>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</si>
  <si>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</si>
  <si>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</si>
  <si>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</si>
  <si>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</si>
  <si>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</si>
  <si>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</si>
  <si>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</si>
  <si>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</si>
  <si>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</si>
  <si>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</si>
  <si>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</si>
  <si>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</si>
  <si>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</si>
  <si>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</si>
  <si>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</si>
  <si>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</si>
  <si>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Other governmental units - operating</t>
  </si>
  <si>
    <t>Sale of scrap, waste &amp; other used goods (excl.cap)</t>
  </si>
  <si>
    <t>Current payments</t>
  </si>
  <si>
    <t>Increase/(decrease) attributable to rates</t>
  </si>
  <si>
    <t>Property tax revenue as % of tax + service revenue</t>
  </si>
  <si>
    <t>Increase/(decrease) attributable to service debtors</t>
  </si>
  <si>
    <t>6. Insert actual or estimated % increases assumed as a basis for budget calculations</t>
  </si>
  <si>
    <t>7. Insert actual or estimated % collection rate assumed as a basis for budget calculations for each revenue group</t>
  </si>
  <si>
    <t>List operating grants</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</si>
  <si>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</si>
  <si>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</si>
  <si>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</si>
  <si>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</si>
  <si>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</si>
  <si>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</si>
  <si>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</si>
  <si>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</si>
  <si>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</si>
  <si>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</si>
  <si>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</si>
  <si>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</si>
  <si>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</si>
  <si>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</si>
  <si>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</si>
  <si>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</si>
  <si>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</si>
  <si>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</si>
  <si>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</si>
  <si>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</si>
  <si>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</si>
  <si>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</si>
  <si>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</si>
  <si>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</si>
  <si>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</si>
  <si>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</si>
  <si>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</si>
  <si>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Other capital transfers/grants [insert description]</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</si>
  <si>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</si>
  <si>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</si>
  <si>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</si>
  <si>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</si>
  <si>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</si>
  <si>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</si>
  <si>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</si>
  <si>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</si>
  <si>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</si>
  <si>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</si>
  <si>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</si>
  <si>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</si>
  <si>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</si>
  <si>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</si>
  <si>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</si>
  <si>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</si>
  <si>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</si>
  <si>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</si>
  <si>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</si>
  <si>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</si>
  <si>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</si>
  <si>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1. List all projects with planned completion dates in current year that have been re-budgeted in the MTREF</t>
  </si>
  <si>
    <t>Libraries and Archives</t>
  </si>
  <si>
    <t>Child Care</t>
  </si>
  <si>
    <t>Aged Care</t>
  </si>
  <si>
    <t>Other Community</t>
  </si>
  <si>
    <t>Other Social</t>
  </si>
  <si>
    <t>Police</t>
  </si>
  <si>
    <t>1. Include 'Loans and advances' where applicable if any reportable amounts until phased compliance with s164 of MFMA achieved</t>
  </si>
  <si>
    <t>4. B/A, C/B, D/C, E/C, F/C, G/D, H/D, I/D</t>
  </si>
  <si>
    <t>Employee costs/(Total Revenue - capital revenue)</t>
  </si>
  <si>
    <t>6. Donated/contributed &amp; leased assets to be included within the respective sub-class</t>
  </si>
  <si>
    <t>Supporting Table SA34a</t>
  </si>
  <si>
    <t>Supporting Table SA34b</t>
  </si>
  <si>
    <t>Supporting Table SA34c</t>
  </si>
  <si>
    <t>Payments in lieu of leave</t>
  </si>
  <si>
    <t>Post-retirement benefit obligations</t>
  </si>
  <si>
    <t>PPE at cost/valuation (excl. finance leases)</t>
  </si>
  <si>
    <t>Financial Position categories and sub-categories</t>
  </si>
  <si>
    <t>Entity 1</t>
  </si>
  <si>
    <t>Head56</t>
  </si>
  <si>
    <t>Total Adjusts.</t>
  </si>
  <si>
    <t>3 = full compliance (schedule/table presented with all information completed)</t>
  </si>
  <si>
    <t>Phase-in compliance assessment example</t>
  </si>
  <si>
    <t>Rating</t>
  </si>
  <si>
    <t>Description/justification for rating</t>
  </si>
  <si>
    <t>Weight</t>
  </si>
  <si>
    <t>YES</t>
  </si>
  <si>
    <t>NO</t>
  </si>
  <si>
    <t>Total score and weighting:</t>
  </si>
  <si>
    <t>MHC = mandatory year 1 for high capacity, MMC for medium &amp; MLC for low</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</si>
  <si>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</si>
  <si>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</si>
  <si>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</si>
  <si>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</si>
  <si>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</si>
  <si>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</si>
  <si>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</si>
  <si>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</si>
  <si>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</si>
  <si>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DRAFT UNDER DEVELOPMENT</t>
  </si>
  <si>
    <t>MHC YR1</t>
  </si>
  <si>
    <t>MHC YR2</t>
  </si>
  <si>
    <t>MHC YR3</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</si>
  <si>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</si>
  <si>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</si>
  <si>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</si>
  <si>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</si>
  <si>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</si>
  <si>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</si>
  <si>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</si>
  <si>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</si>
  <si>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</si>
  <si>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</si>
  <si>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</si>
  <si>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</si>
  <si>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</si>
  <si>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</si>
  <si>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</si>
  <si>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</si>
  <si>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</si>
  <si>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</si>
  <si>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</si>
  <si>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</si>
  <si>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</si>
  <si>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</si>
  <si>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Max score</t>
  </si>
  <si>
    <t>Scaling</t>
  </si>
  <si>
    <t>Surplus/(Deficit)</t>
  </si>
  <si>
    <t>Standard classifications</t>
  </si>
  <si>
    <t>Conservancy</t>
  </si>
  <si>
    <t>Ambulances</t>
  </si>
  <si>
    <t>Longstanding Debtors Recovered</t>
  </si>
  <si>
    <t>(Total Operating Revenue - Operating Grants)/Debt service payments due within financial year)</t>
  </si>
  <si>
    <t>Phase-in compliance assessment description rating</t>
  </si>
  <si>
    <t>0 = non-compliance (schedule/table etc not presented)</t>
  </si>
  <si>
    <t>1 = minimal compliance (schedule/table presented with minimal information)</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</si>
  <si>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</si>
  <si>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</si>
  <si>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</si>
  <si>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</si>
  <si>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</si>
  <si>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</si>
  <si>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</si>
  <si>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</si>
  <si>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</si>
  <si>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</si>
  <si>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</si>
  <si>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</si>
  <si>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</si>
  <si>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</si>
  <si>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</si>
  <si>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</si>
  <si>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</si>
  <si>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</si>
  <si>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</si>
  <si>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</si>
  <si>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</si>
  <si>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</si>
  <si>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</si>
  <si>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</si>
  <si>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</si>
  <si>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</si>
  <si>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</si>
  <si>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</si>
  <si>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</si>
  <si>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</si>
  <si>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</si>
  <si>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</si>
  <si>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</si>
  <si>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</si>
  <si>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</si>
  <si>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</si>
  <si>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</si>
  <si>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</si>
  <si>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</si>
  <si>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</si>
  <si>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</si>
  <si>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KZN211 Vulamehlo</t>
  </si>
  <si>
    <t>KZN212 Umdoni</t>
  </si>
  <si>
    <t>KZN213 Umzumbe</t>
  </si>
  <si>
    <t>KZN214 uMuziwabantu</t>
  </si>
  <si>
    <t>KZN216 Hibiscus Coast</t>
  </si>
  <si>
    <t>KZN221 uMshwathi</t>
  </si>
  <si>
    <t>KZN222 uMngeni</t>
  </si>
  <si>
    <t>KZN223 Mpofana</t>
  </si>
  <si>
    <t>KZN224 Impendle</t>
  </si>
  <si>
    <t>KZN225 Msunduzi</t>
  </si>
  <si>
    <t>KZN226 Mkhambathini</t>
  </si>
  <si>
    <t>KZN227 Richmond</t>
  </si>
  <si>
    <t>KZN232 Emnambithi/Ladysmith</t>
  </si>
  <si>
    <t>KZN233 Indaka</t>
  </si>
  <si>
    <t>KZN234 Umtshezi</t>
  </si>
  <si>
    <t>KZN235 Okhahlamba</t>
  </si>
  <si>
    <t>KZN236 Imbabazane</t>
  </si>
  <si>
    <t>KZN241 Endumeni</t>
  </si>
  <si>
    <t>KZN242 Nquthu</t>
  </si>
  <si>
    <t>KZN244 Msinga</t>
  </si>
  <si>
    <t>KZN245 Umvoti</t>
  </si>
  <si>
    <t>KZN252 Newcastle</t>
  </si>
  <si>
    <t>KZN253 eMadlangeni</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</si>
  <si>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</si>
  <si>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</si>
  <si>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</si>
  <si>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</si>
  <si>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</si>
  <si>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</si>
  <si>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Audited Actual</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</si>
  <si>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</si>
  <si>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</si>
  <si>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</si>
  <si>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</si>
  <si>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</si>
  <si>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</si>
  <si>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</si>
  <si>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</si>
  <si>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</si>
  <si>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2. Total Revenue by Standard Classification must reconcile to total operating revenue shown in Financial Performance (revenue and expenditure)</t>
  </si>
  <si>
    <t>3. Total Expenditure by Standard Classification must reconcile to total operating expenditure shown in Financial Performance (revenue and expenditure)</t>
  </si>
  <si>
    <t>Sub Total - Other Municipal Staff</t>
  </si>
  <si>
    <t xml:space="preserve">R Thousand </t>
  </si>
  <si>
    <t>Sales by market establishments</t>
  </si>
  <si>
    <t>Other Sales</t>
  </si>
  <si>
    <t>Capital expenditure - Municipal Vote</t>
  </si>
  <si>
    <t xml:space="preserve">Department 14 - </t>
  </si>
  <si>
    <t>Capital payments % of capital expenditure</t>
  </si>
  <si>
    <t>2.</t>
  </si>
  <si>
    <t>Electricity/other energy</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</si>
  <si>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</si>
  <si>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</si>
  <si>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</si>
  <si>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</si>
  <si>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</si>
  <si>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</si>
  <si>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</si>
  <si>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</si>
  <si>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</si>
  <si>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</si>
  <si>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</si>
  <si>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</si>
  <si>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</si>
  <si>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</si>
  <si>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</si>
  <si>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</si>
  <si>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</si>
  <si>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NOTE: This was an early preliminary suggestion aligned to the tables - it should be deleted before publishing</t>
  </si>
  <si>
    <t>UNDER DEVELOPMENT - 2008/09 PROJECT</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</si>
  <si>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</si>
  <si>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</si>
  <si>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</si>
  <si>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</si>
  <si>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</si>
  <si>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</si>
  <si>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</si>
  <si>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</si>
  <si>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</si>
  <si>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</si>
  <si>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</si>
  <si>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</si>
  <si>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</si>
  <si>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</si>
  <si>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</si>
  <si>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</si>
  <si>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</si>
  <si>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</si>
  <si>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</si>
  <si>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</si>
  <si>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</si>
  <si>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</si>
  <si>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</si>
  <si>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</si>
  <si>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</si>
  <si>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</si>
  <si>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</si>
  <si>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</si>
  <si>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</si>
  <si>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</si>
  <si>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</si>
  <si>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</si>
  <si>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</si>
  <si>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</si>
  <si>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</si>
  <si>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</si>
  <si>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</si>
  <si>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</si>
  <si>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</si>
  <si>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</si>
  <si>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</si>
  <si>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</si>
  <si>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</si>
  <si>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</si>
  <si>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</si>
  <si>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</si>
  <si>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</si>
  <si>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</si>
  <si>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</si>
  <si>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</si>
  <si>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</si>
  <si>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</si>
  <si>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</si>
  <si>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</si>
  <si>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</si>
  <si>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</si>
  <si>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</si>
  <si>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</si>
  <si>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</si>
  <si>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DC14 Joe Gqabi</t>
  </si>
  <si>
    <t>KZN KWAZULU-NATAL</t>
  </si>
  <si>
    <t>DC45 John Taolo Gaetsewe</t>
  </si>
  <si>
    <t>EC109 Kou-Kamma</t>
  </si>
  <si>
    <t>GT484 Merafong City</t>
  </si>
  <si>
    <t>KZN215 Ezinqoleni</t>
  </si>
  <si>
    <t>KZN273 The Big 5 False Bay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</si>
  <si>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</si>
  <si>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</si>
  <si>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</si>
  <si>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</si>
  <si>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</si>
  <si>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</si>
  <si>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</si>
  <si>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</si>
  <si>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</si>
  <si>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</si>
  <si>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</si>
  <si>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</si>
  <si>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</si>
  <si>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</si>
  <si>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</si>
  <si>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</si>
  <si>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</si>
  <si>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</si>
  <si>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</si>
  <si>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</si>
  <si>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</si>
  <si>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</si>
  <si>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</si>
  <si>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</si>
  <si>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</si>
  <si>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</si>
  <si>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</si>
  <si>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</si>
  <si>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</si>
  <si>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</si>
  <si>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</si>
  <si>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</si>
  <si>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</si>
  <si>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</si>
  <si>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</si>
  <si>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</si>
  <si>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</si>
  <si>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</si>
  <si>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</si>
  <si>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</si>
  <si>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</si>
  <si>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</si>
  <si>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</si>
  <si>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</si>
  <si>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</si>
  <si>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</si>
  <si>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</si>
  <si>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</si>
  <si>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</si>
  <si>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</si>
  <si>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</si>
  <si>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</si>
  <si>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</si>
  <si>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</si>
  <si>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</si>
  <si>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</si>
  <si>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</si>
  <si>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</si>
  <si>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</si>
  <si>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</si>
  <si>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</si>
  <si>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</si>
  <si>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</si>
  <si>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FS164 Naledi (Fs)</t>
  </si>
  <si>
    <t>FS196 Mantsopa</t>
  </si>
  <si>
    <t>MP312 Emalahleni (Mp)</t>
  </si>
  <si>
    <t>MP315 Thembisile Hani</t>
  </si>
  <si>
    <t>NW397 Molopo-Kagisano</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</si>
  <si>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</si>
  <si>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</si>
  <si>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</si>
  <si>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</si>
  <si>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</si>
  <si>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</si>
  <si>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</si>
  <si>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</si>
  <si>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</si>
  <si>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</si>
  <si>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</si>
  <si>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</si>
  <si>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</si>
  <si>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</si>
  <si>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</si>
  <si>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</si>
  <si>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</si>
  <si>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</si>
  <si>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</si>
  <si>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Investment Properties</t>
  </si>
  <si>
    <t>Specialised vehicles - Refuse</t>
  </si>
  <si>
    <t>Specialised vehicles - Fire</t>
  </si>
  <si>
    <t>Specialised vehicles - Conservancy</t>
  </si>
  <si>
    <t>Specialised vehicles - Ambulances</t>
  </si>
  <si>
    <t>Other Assets</t>
  </si>
  <si>
    <t>Ref.</t>
  </si>
  <si>
    <t>Entity Capital expenditure</t>
  </si>
  <si>
    <t>Parent Capital expenditure</t>
  </si>
  <si>
    <t>3. As per Table SA34</t>
  </si>
  <si>
    <t>4. Projects that fall above the threshold values applicable to the municipality as identified in regulation 13 of the Municipal Budget and Reporting Regulations must be listed individually. Other projects by programme by Vote</t>
  </si>
  <si>
    <t>IDP Goal code 
2</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</si>
  <si>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</si>
  <si>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</si>
  <si>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</si>
  <si>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</si>
  <si>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</si>
  <si>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</si>
  <si>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</si>
  <si>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</si>
  <si>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</si>
  <si>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</si>
  <si>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</si>
  <si>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</si>
  <si>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</si>
  <si>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</si>
  <si>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</si>
  <si>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</si>
  <si>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</si>
  <si>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</si>
  <si>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5]</t>
  </si>
  <si>
    <t>[NAME OF VOTE 6]</t>
  </si>
  <si>
    <t>[NAME OF VOTE 7]</t>
  </si>
  <si>
    <t>[NAME OF VOTE 8]</t>
  </si>
  <si>
    <t>[NAME OF VOTE 9]</t>
  </si>
  <si>
    <t>[NAME OF VOTE 10]</t>
  </si>
  <si>
    <t>[NAME OF VOTE 11]</t>
  </si>
  <si>
    <t>[NAME OF VOTE 12]</t>
  </si>
  <si>
    <t>[NAME OF VOTE 13]</t>
  </si>
  <si>
    <t>[NAME OF VOTE 14]</t>
  </si>
  <si>
    <t>[NAME OF VOTE 15]</t>
  </si>
  <si>
    <t>5.1 - [Name of sub-vote]</t>
  </si>
  <si>
    <t>6.1 - [Name of sub-vote]</t>
  </si>
  <si>
    <t>7.1 - [Name of sub-vote]</t>
  </si>
  <si>
    <t>8.1 - [Name of sub-vote]</t>
  </si>
  <si>
    <t>9.1 - [Name of sub-vote]</t>
  </si>
  <si>
    <t>10.1 - [Name of sub-vote]</t>
  </si>
  <si>
    <t>11.1 - [Name of sub-vote]</t>
  </si>
  <si>
    <t>12.1 - [Name of sub-vote]</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</si>
  <si>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</si>
  <si>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</si>
  <si>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</si>
  <si>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</si>
  <si>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</si>
  <si>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</si>
  <si>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</si>
  <si>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</si>
  <si>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</si>
  <si>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</si>
  <si>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</si>
  <si>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</si>
  <si>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</si>
  <si>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</si>
  <si>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</si>
  <si>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</si>
  <si>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</si>
  <si>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</si>
  <si>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</si>
  <si>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</si>
  <si>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</si>
  <si>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</si>
  <si>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</si>
  <si>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</si>
  <si>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</si>
  <si>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</si>
  <si>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</si>
  <si>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</si>
  <si>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</si>
  <si>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</si>
  <si>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</si>
  <si>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</si>
  <si>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Interest Rate 
3.</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</si>
  <si>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</si>
  <si>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</si>
  <si>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</si>
  <si>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</si>
  <si>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</si>
  <si>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</si>
  <si>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</si>
  <si>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</si>
  <si>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5. Correct to seconds. Provide a logical starting point on networked infrastructure.</t>
  </si>
  <si>
    <t>Asset Sub-Class  
3</t>
  </si>
  <si>
    <t>Asset Class  
3</t>
  </si>
  <si>
    <t>4. Correct to seconds. Provide a logical starting point on networked infrastructure.</t>
  </si>
  <si>
    <t>GPS co-ordinates
4</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</si>
  <si>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</si>
  <si>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</si>
  <si>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</si>
  <si>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</si>
  <si>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</si>
  <si>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</si>
  <si>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</si>
  <si>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</si>
  <si>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</si>
  <si>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</si>
  <si>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</si>
  <si>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</si>
  <si>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</si>
  <si>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</si>
  <si>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</si>
  <si>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</si>
  <si>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</si>
  <si>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</si>
  <si>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</si>
  <si>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</si>
  <si>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</si>
  <si>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</si>
  <si>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</si>
  <si>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</si>
  <si>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</si>
  <si>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</si>
  <si>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</si>
  <si>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</si>
  <si>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</si>
  <si>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</si>
  <si>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</si>
  <si>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</si>
  <si>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</si>
  <si>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</si>
  <si>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</si>
  <si>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</si>
  <si>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</si>
  <si>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</si>
  <si>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</si>
  <si>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</si>
  <si>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</si>
  <si>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</si>
  <si>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</si>
  <si>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</si>
  <si>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</si>
  <si>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</si>
  <si>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</si>
  <si>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</si>
  <si>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</si>
  <si>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</si>
  <si>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</si>
  <si>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</si>
  <si>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</si>
  <si>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</si>
  <si>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</si>
  <si>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</si>
  <si>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</si>
  <si>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</si>
  <si>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</si>
  <si>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[insert extra blocks if necessary]</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</si>
  <si>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</si>
  <si>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</si>
  <si>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</si>
  <si>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</si>
  <si>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</si>
  <si>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</si>
  <si>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</si>
  <si>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</si>
  <si>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</si>
  <si>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</si>
  <si>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</si>
  <si>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</si>
  <si>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</si>
  <si>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</si>
  <si>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</si>
  <si>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</si>
  <si>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</si>
  <si>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</si>
  <si>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</si>
  <si>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</si>
  <si>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</si>
  <si>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</si>
  <si>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</si>
  <si>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</si>
  <si>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</si>
  <si>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</si>
  <si>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</si>
  <si>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</si>
  <si>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</si>
  <si>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</si>
  <si>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</si>
  <si>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</si>
  <si>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</si>
  <si>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</si>
  <si>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</si>
  <si>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</si>
  <si>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</si>
  <si>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</si>
  <si>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</si>
  <si>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</si>
  <si>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</si>
  <si>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</si>
  <si>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</si>
  <si>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</si>
  <si>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</si>
  <si>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</si>
  <si>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</si>
  <si>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</si>
  <si>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</si>
  <si>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</si>
  <si>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</si>
  <si>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</si>
  <si>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</si>
  <si>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</si>
  <si>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</si>
  <si>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</si>
  <si>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</si>
  <si>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</si>
  <si>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</si>
  <si>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</si>
  <si>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</si>
  <si>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</si>
  <si>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</si>
  <si>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</si>
  <si>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</si>
  <si>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</si>
  <si>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</si>
  <si>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</si>
  <si>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</si>
  <si>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</si>
  <si>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</si>
  <si>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</si>
  <si>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</si>
  <si>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</si>
  <si>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</si>
  <si>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</si>
  <si>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</si>
  <si>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</si>
  <si>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</si>
  <si>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</si>
  <si>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</si>
  <si>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Multi-year appropriation for 2012/13 
in the 2011/12 Annual Budget</t>
  </si>
  <si>
    <t>Multi-year appropriation for 2013/14 
in the 2011/12 Annual Budget</t>
  </si>
  <si>
    <t xml:space="preserve">New multi-year appropriations 
(funds for new and existing projects) </t>
  </si>
  <si>
    <t>Appropriation for 2012/13</t>
  </si>
  <si>
    <t>Adjustments in 2011/12</t>
  </si>
  <si>
    <t>Appropriation carried forward</t>
  </si>
  <si>
    <t>Debtors collection assumptions</t>
  </si>
  <si>
    <t>1. Depreciation based on write down values. Not including Depreciation resulting from revaluation.</t>
  </si>
  <si>
    <t>`</t>
  </si>
  <si>
    <t>Downward adjustments for 2012/13</t>
  </si>
  <si>
    <t>Balance outstanding - debtors</t>
  </si>
  <si>
    <t>Estimate of debtors collection rate</t>
  </si>
  <si>
    <t>Creditors due</t>
  </si>
  <si>
    <t>Household service targets</t>
  </si>
  <si>
    <t xml:space="preserve">Water </t>
  </si>
  <si>
    <t>Energy</t>
  </si>
  <si>
    <t>Check (no. of households)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</si>
  <si>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</si>
  <si>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</si>
  <si>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</si>
  <si>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</si>
  <si>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</si>
  <si>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</si>
  <si>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</si>
  <si>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</si>
  <si>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</si>
  <si>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</si>
  <si>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</si>
  <si>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</si>
  <si>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</si>
  <si>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</si>
  <si>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</si>
  <si>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</si>
  <si>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</si>
  <si>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Individually Approved
(Yes/No)</t>
  </si>
  <si>
    <t xml:space="preserve">Asset Class     
</t>
  </si>
  <si>
    <t xml:space="preserve">Asset Sub-Class   
</t>
  </si>
  <si>
    <r>
      <t>GPS co-ordinates</t>
    </r>
    <r>
      <rPr>
        <b/>
        <sz val="8"/>
        <rFont val="Arial Narrow"/>
        <family val="2"/>
      </rPr>
      <t xml:space="preserve">
</t>
    </r>
  </si>
  <si>
    <t>6. Distinguish projects approved in terms of MFMA section 19(1)(b) and MRRR Regulation 13</t>
  </si>
  <si>
    <t>SA16 - Investments</t>
  </si>
  <si>
    <t>SA36, SA37 - Capital projects</t>
  </si>
  <si>
    <t>2. As per Table SA6</t>
  </si>
  <si>
    <t>BUF Buffalo City</t>
  </si>
  <si>
    <t>NMA Nelson Mandela Bay</t>
  </si>
  <si>
    <t>MAN Mangaung</t>
  </si>
  <si>
    <t>EKU Ekurhuleni Metro</t>
  </si>
  <si>
    <t>JHB City Of Johannesburg</t>
  </si>
  <si>
    <t>TSH City Of Tshwane</t>
  </si>
  <si>
    <t>ETH eThekwini</t>
  </si>
  <si>
    <t>LIM LIMPOPO</t>
  </si>
  <si>
    <t>CPT Cape Town</t>
  </si>
  <si>
    <t>EC136 Emalahleni (EC)</t>
  </si>
  <si>
    <t>7. Correct as at 30 June</t>
  </si>
  <si>
    <t>5,7</t>
  </si>
  <si>
    <t>10. Correct as at 30 June</t>
  </si>
  <si>
    <t>8,10</t>
  </si>
  <si>
    <t>9. Correct as at 30 June</t>
  </si>
  <si>
    <t>1. If properties are not rated or zero rated this must be indicated as such</t>
  </si>
  <si>
    <t>Other rebates or exemptions</t>
  </si>
  <si>
    <t>[Insert blocks as applicable]</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</si>
  <si>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</si>
  <si>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</si>
  <si>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</si>
  <si>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</si>
  <si>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</si>
  <si>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</si>
  <si>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</si>
  <si>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</si>
  <si>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</si>
  <si>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</si>
  <si>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Reconnections</t>
  </si>
  <si>
    <t>Hullet External Charges</t>
  </si>
  <si>
    <t>Rates Certificates</t>
  </si>
  <si>
    <t>Water Sundry</t>
  </si>
  <si>
    <t>Other Revenue</t>
  </si>
  <si>
    <t>Security Contract</t>
  </si>
  <si>
    <t>External Cashiers</t>
  </si>
  <si>
    <t>External Services</t>
  </si>
  <si>
    <t>Bad Debts - Provision</t>
  </si>
  <si>
    <t>Interest Paid</t>
  </si>
  <si>
    <t>Cost Of Imcome Forgone</t>
  </si>
  <si>
    <t>Distribution Wages</t>
  </si>
  <si>
    <t>DownTime Leave/Sickpay</t>
  </si>
  <si>
    <t>Operating Costs - Vulindlela</t>
  </si>
  <si>
    <t>Eskom Payments</t>
  </si>
  <si>
    <t>Hire Charges</t>
  </si>
  <si>
    <t>Petrol and Lubricants</t>
  </si>
  <si>
    <t>Distribution Plant Hire</t>
  </si>
  <si>
    <t>Expanded Public Works Grant</t>
  </si>
  <si>
    <t>Operating Grant - Property Rates</t>
  </si>
  <si>
    <t>Human Settlements</t>
  </si>
  <si>
    <t>Public Works</t>
  </si>
  <si>
    <t>Arts and Culture</t>
  </si>
  <si>
    <t>Dept of Mineral/Electricty</t>
  </si>
  <si>
    <t>Intergrated National Electrification Porgramme</t>
  </si>
  <si>
    <t>Airport Development Project</t>
  </si>
  <si>
    <t>Safe City</t>
  </si>
  <si>
    <t xml:space="preserve">Corporate Services </t>
  </si>
  <si>
    <t>Council and Committee Support</t>
  </si>
  <si>
    <t>Enterprise  Wide Risk Management &amp; Audit and Compliance</t>
  </si>
  <si>
    <t>Human Resources Management</t>
  </si>
  <si>
    <t>Legislative Compliance</t>
  </si>
  <si>
    <t>Local Economic Development Management</t>
  </si>
  <si>
    <t>Management Information Services</t>
  </si>
  <si>
    <t>Marketing and Public Relations Management</t>
  </si>
  <si>
    <t>1.1 - Council and Committee Support</t>
  </si>
  <si>
    <t>1.2 - Enterprise  Wide Risk Management &amp; Audit and Compliance</t>
  </si>
  <si>
    <t>1.3 - Human Resources Management</t>
  </si>
  <si>
    <t>1.4 - Legislative Compliance</t>
  </si>
  <si>
    <t>1.5 - Local Economic Development Management</t>
  </si>
  <si>
    <t>1.6 - Management Information Services</t>
  </si>
  <si>
    <t>1.7 - Marketing and Public Relations Management</t>
  </si>
  <si>
    <t>Financial Management Area</t>
  </si>
  <si>
    <t>Budget &amp; Treasury Management</t>
  </si>
  <si>
    <t>Expenditure Management</t>
  </si>
  <si>
    <t>Financial Control and Cash Management</t>
  </si>
  <si>
    <t>Supply Chain Management</t>
  </si>
  <si>
    <t>2.1 - Budget &amp; Treasury Management</t>
  </si>
  <si>
    <t>2.2 - Expenditure Management</t>
  </si>
  <si>
    <t>2.3 - Financial Control and Cash Management</t>
  </si>
  <si>
    <t>2.4 - Revenue Management</t>
  </si>
  <si>
    <t>2.5 - Supply Chain Management</t>
  </si>
  <si>
    <t>Infrastructure Development, Service Delivery and Maintenance Management</t>
  </si>
  <si>
    <t>Electricity distribution Management</t>
  </si>
  <si>
    <t>Human Settlement Development Management</t>
  </si>
  <si>
    <t>Municipal Infrastructure Planning, Funding, Maintenance and Development Management</t>
  </si>
  <si>
    <t>Roads and Stormwater</t>
  </si>
  <si>
    <t>Water Distribution and Sanitation Management</t>
  </si>
  <si>
    <t>3.1 - Electricity distribution Management</t>
  </si>
  <si>
    <t>3.2 - Human Settlement Development Management</t>
  </si>
  <si>
    <t>3.3 - Municipal Infrastructure Planning, Funding, Maintenance and Development Management</t>
  </si>
  <si>
    <t>3.4 - Roads and Stormwater</t>
  </si>
  <si>
    <t>3.5 - Waste Management</t>
  </si>
  <si>
    <t>3.6 - Water Distribution and Sanitation Management</t>
  </si>
  <si>
    <t>Sustainable Community Service Delivery Provision Management</t>
  </si>
  <si>
    <t>Community Services Provision Management</t>
  </si>
  <si>
    <t>Public Safety, Enforcement and Disaster Management</t>
  </si>
  <si>
    <t>Regional Community Services Provision Management</t>
  </si>
  <si>
    <t>4.1 - Community Services Provision Management</t>
  </si>
  <si>
    <t>4.2 - Public Safety, Enforcement and Disaster Management</t>
  </si>
  <si>
    <t>4.3 - Regional Community Services Provision Management</t>
  </si>
  <si>
    <t>0-6 Balance on a sliding scale</t>
  </si>
  <si>
    <t>Sliding indigent scale up to 2009/10</t>
  </si>
  <si>
    <t>0-6</t>
  </si>
  <si>
    <t>7-12</t>
  </si>
  <si>
    <t>13 and more</t>
  </si>
  <si>
    <t>Flat rate Domestic</t>
  </si>
  <si>
    <t>Availability Charge</t>
  </si>
  <si>
    <t>Airport</t>
  </si>
  <si>
    <t>Training Levy Recoveries</t>
  </si>
  <si>
    <t>Burials &amp; Crematoriums</t>
  </si>
  <si>
    <t>Community Bodies</t>
  </si>
  <si>
    <t>Census Count/Estimate</t>
  </si>
  <si>
    <t>552 837</t>
  </si>
  <si>
    <t>5968</t>
  </si>
  <si>
    <t>3086</t>
  </si>
  <si>
    <t>461</t>
  </si>
  <si>
    <t>581</t>
  </si>
  <si>
    <t>No Data</t>
  </si>
  <si>
    <t>Statistics South Africa</t>
  </si>
  <si>
    <t>Call - ABSA (Land Sales)</t>
  </si>
  <si>
    <t>Call - RMB (Airport Dev Fund).</t>
  </si>
  <si>
    <t>Call - RMB (Metro Trans Fund)</t>
  </si>
  <si>
    <t>Call - RMB (Almond Bank Dev)</t>
  </si>
  <si>
    <t>Call - RMB (MIG Grant)</t>
  </si>
  <si>
    <t>Call - RMB (Unspent Conditional Grant)</t>
  </si>
  <si>
    <t>Call - RMB (General Investments)</t>
  </si>
  <si>
    <t>Call - RMB (Sale of Assets)</t>
  </si>
  <si>
    <t>Call - RMB (Insurance Fund)</t>
  </si>
  <si>
    <t>Call - RMB (Land sales)</t>
  </si>
  <si>
    <t>Fixed - ABSA (WCA) - 12  Months</t>
  </si>
  <si>
    <t>Call</t>
  </si>
  <si>
    <t>To improve health care</t>
  </si>
  <si>
    <t>To promote health,safety &amp; caring of environment</t>
  </si>
  <si>
    <t>To upgrade, resurface roads including associated stormwater rainage,to improve the total road network</t>
  </si>
  <si>
    <t>To improve &amp; maintain infrastructure assets</t>
  </si>
  <si>
    <t>To upgrade,replace,rehabilitate sewer infrastructure</t>
  </si>
  <si>
    <t>To complete installation of renewal,provide access to basic water,elimination of standpipes,upgrade</t>
  </si>
  <si>
    <t>To provide access to lighting,refurbish transmission lines,replace switchgear</t>
  </si>
  <si>
    <t>To promote social integration</t>
  </si>
  <si>
    <t>Promote the city heritage &amp; enhance sustainable tourism</t>
  </si>
  <si>
    <t>To provide sustainable &amp; developmental finance through sound financial management</t>
  </si>
  <si>
    <t>Use technology advancement to improve service delivery</t>
  </si>
  <si>
    <t>To ensure proper regulations,control and enforcement</t>
  </si>
  <si>
    <t>To promote &amp; enhance e-governance</t>
  </si>
  <si>
    <t>To develop social housing</t>
  </si>
  <si>
    <t>To promote integrated development</t>
  </si>
  <si>
    <t>To provide adequate staffing levels</t>
  </si>
  <si>
    <t>To promote the involvement of communities</t>
  </si>
  <si>
    <t>Environmentally sustainable development</t>
  </si>
  <si>
    <t>To promote access to basic services</t>
  </si>
  <si>
    <t>Financial Viability and Management</t>
  </si>
  <si>
    <t>An efficiently managed,financially viable and sustainable city</t>
  </si>
  <si>
    <t>Basic Service and Infrastructure Development</t>
  </si>
  <si>
    <t>A city where everybody has access to habitable human settlement-decent houses,clean water and proper sanitation</t>
  </si>
  <si>
    <t>Local Economic Development</t>
  </si>
  <si>
    <t>A vibrant economic centre, attracting investment,supporting business development and creating jobs</t>
  </si>
  <si>
    <t>Good Governance and Public Participation</t>
  </si>
  <si>
    <t>A well-governed city underpinned by meaningful public participation</t>
  </si>
  <si>
    <t>Institutional Development and Transformation</t>
  </si>
  <si>
    <t>Environmental Planning and Social Services</t>
  </si>
  <si>
    <t>An environmentally sustainable and healthy city</t>
  </si>
  <si>
    <t>Sundry Income</t>
  </si>
  <si>
    <t>Extra Ordinary Items</t>
  </si>
  <si>
    <t>Pension Payable</t>
  </si>
  <si>
    <t>To bring the landfill in coplaince with NEMA</t>
  </si>
  <si>
    <t>Basic Service Delivery and Infrastructure Development</t>
  </si>
  <si>
    <t>A city where everybody has access to habitable human settlements-decent houses, clean water and proper sanitation</t>
  </si>
  <si>
    <t>An efficiently managed, financially viable and sustainable City</t>
  </si>
  <si>
    <t>A safe city, with low crime levels, and quality living areas</t>
  </si>
  <si>
    <t>An environmental sustainable and healthy city</t>
  </si>
  <si>
    <t>A vibrant economic centre,attracting investment, supporting business development and creating jobs</t>
  </si>
  <si>
    <t>A well planned, spatially integrated city</t>
  </si>
  <si>
    <t>2008/2009</t>
  </si>
  <si>
    <t>2009/2010</t>
  </si>
  <si>
    <t>2010/2011</t>
  </si>
  <si>
    <t>Nil</t>
  </si>
  <si>
    <t>SV4</t>
  </si>
  <si>
    <t>SV1</t>
  </si>
  <si>
    <t>2011/2012</t>
  </si>
  <si>
    <t>SV6</t>
  </si>
  <si>
    <t>no</t>
  </si>
  <si>
    <t>nil</t>
  </si>
  <si>
    <t>2012/2013</t>
  </si>
  <si>
    <t>Unknown</t>
  </si>
  <si>
    <t>SV7 + 8</t>
  </si>
  <si>
    <t>Vulindela Streetlighting Phase 3</t>
  </si>
  <si>
    <t xml:space="preserve">UPGRADING OF GRAVEL ROADS - EDENDALE - MBANJWA RD - 2,0 km </t>
  </si>
  <si>
    <t>UPGRADING OF GRAVEL ROADS - EDENDALE - WARD 22 - 8,4km Natshi Rd, Hadebe Rd, Dipini Rd, Thula Rd, Hlengwa Rd, Bhula Rd, Mthethomusha Rd, Mavimbela Rd, Thusi Rd, Budi Rd and Geris Road</t>
  </si>
  <si>
    <t>UPGRADING OF GRAVEL RDS - EDN - WARD 12 - MOSCOW - 4,0 km - Zabazomuzi Rd, Mngoma Rd, Zwane Rd - MOSCOW AREA RDS</t>
  </si>
  <si>
    <t xml:space="preserve">UPGRADING OF GRAVEL ROADS - EDENDALE - WARD 16 - 8,0km - Senti Rd, Sbhomoro Rd, Khawula Rd - Dambuza Area - Thulani Rd - Unit J </t>
  </si>
  <si>
    <t xml:space="preserve">BACKLOG TO NEW RDS &amp; S/W &amp; UPGRADE OF EXISTING SUBSTANDARD  LOW-COST HOUSING - HANIVILLE </t>
  </si>
  <si>
    <t>UPGRADE GRAVEL ROADS IN EDENDALE: Hlubi Rd, Nkosi Rd, Ntombela Rd, D. Shezi Rd, Ntshingila Rd and Mpungose Rd in Esigodini</t>
  </si>
  <si>
    <t>REHABILITATION OF ROADS IN ASHDOWN</t>
  </si>
  <si>
    <t>Good Governance</t>
  </si>
  <si>
    <t>UPGRADING OF GRAVEL ROADS - GREATER EDENDALE - Shembe Rd and Joe Ngidi rd</t>
  </si>
  <si>
    <t>Infra Structure</t>
  </si>
  <si>
    <t>Economic Dev</t>
  </si>
  <si>
    <t>Corporate ( Acting Allowance to be confirmed)</t>
  </si>
  <si>
    <t>Government Grant Expenditure</t>
  </si>
  <si>
    <t>_</t>
  </si>
  <si>
    <t>Nelisiwe Ngcobo</t>
  </si>
  <si>
    <t>Mayors Grant and Arts &amp; Culture</t>
  </si>
  <si>
    <t>Discount to Bulk Consumers</t>
  </si>
  <si>
    <t>Poor Relief</t>
  </si>
  <si>
    <t>Insurance General</t>
  </si>
  <si>
    <t>Mayors Projects</t>
  </si>
  <si>
    <t>Telephones</t>
  </si>
  <si>
    <t>Loss on Sale of Assets</t>
  </si>
  <si>
    <t>Corridor Development</t>
  </si>
  <si>
    <t>KZNPA</t>
  </si>
  <si>
    <t>Carnegie</t>
  </si>
  <si>
    <t>.</t>
  </si>
  <si>
    <t>Financial Management Services</t>
  </si>
  <si>
    <t>FIRE ALARM SYSTEM PROFESSOR NYEMBEZI BUILDING</t>
  </si>
  <si>
    <t>DEBRIS NET PROFESSOR NYEMBEZI BUILDING</t>
  </si>
  <si>
    <t>REPLACEMENT OF LIFTS PROFESSOR NYEMBEZI BUILDING</t>
  </si>
  <si>
    <t>REPLACEMENT OF LIFTS PROFESSOR A S CHETTY BUILDING</t>
  </si>
  <si>
    <t>REPLACEMENT OF LIFT CITY HALL</t>
  </si>
  <si>
    <t>AIRCONDITIONING INSTALLATION CITY HALL LOUNGE &amp; MEETING ROOM</t>
  </si>
  <si>
    <t>UPGRADE OF FIRE DETECTION SYSTEM CITY HALL</t>
  </si>
  <si>
    <t>VISUAL CONFERENCE SYSTEM COMPLETION CITY HALL</t>
  </si>
  <si>
    <t>CCTV INSTALLATION CITY HALL</t>
  </si>
  <si>
    <t>TELEMETRY / INSTRUMENTATION EQUIPMENT</t>
  </si>
  <si>
    <t>LEAK DETECTION EQUIPMENT</t>
  </si>
  <si>
    <t>EDENDALE PROPER NEW MAINS &amp; RETICULATION</t>
  </si>
  <si>
    <t>ROAD REHABILITATION - PMS</t>
  </si>
  <si>
    <t>CONNOR - OTTO'S BLUFF ROADS - LINK</t>
  </si>
  <si>
    <t>GRIMTHORPE ROAD BRIDGE ( Design and EIA)</t>
  </si>
  <si>
    <t>INSTALLATION OF TRAFFIC SIGNALS</t>
  </si>
  <si>
    <t>TRAFFIC CALMING MEASURES</t>
  </si>
  <si>
    <t>NEW TRAFFIC SIGNALS CONTROLLER</t>
  </si>
  <si>
    <t>TRAFFIC LIGHT SPARES, EQUIPMENT &amp; TOOLS</t>
  </si>
  <si>
    <t>REPLACEMENT OF VEHICLES, PLANT &amp; EQUIPMENT</t>
  </si>
  <si>
    <t>NETWORK REFURBISHMENT</t>
  </si>
  <si>
    <t>AIRPORT PROJECTS</t>
  </si>
  <si>
    <t>FINANCIAL SYSTEM</t>
  </si>
  <si>
    <t>HARRY GWALA STADIUM UPGRADE PHASE 2</t>
  </si>
  <si>
    <t>BUILDINGS (HEROES ACRE DEVELOPMENT)</t>
  </si>
  <si>
    <t>Recabling of LAN Infrastructure - ISO stds</t>
  </si>
  <si>
    <t>CORRIDOR DEVELOPMENT</t>
  </si>
  <si>
    <t>ENERGY EFFECIENCY AND DEMAND SIDE MANAGEMENT</t>
  </si>
  <si>
    <t>PUBLIC TRANSPORT INFRASTRUCTURE</t>
  </si>
  <si>
    <t>ELECTRIFICATION</t>
  </si>
  <si>
    <t xml:space="preserve">LESTER BROWN LINK ROAD </t>
  </si>
  <si>
    <t>BURGER ST EXTENSION (PH 1 - Services, fill earthworks, SW structure etc and Ph 2 - Road layer works, surfacing, Kl &amp; kerbs, Sign &amp; markings etc)</t>
  </si>
  <si>
    <t>REHABILITATION OF PUBLIC ABLUTIONS</t>
  </si>
  <si>
    <t>UNIT 18 COMMUNITY HALL</t>
  </si>
  <si>
    <t>CALUZA SPORTS HALL</t>
  </si>
  <si>
    <t>MOUNTAIN RISE CREMATORS</t>
  </si>
  <si>
    <t>SANITATION INFRASTRUCTURE FEASIBILITY STUDY</t>
  </si>
  <si>
    <t>SHENSTONE AMBLETON SANITATION SYSTEM</t>
  </si>
  <si>
    <t>REHABILITATION OF SANITATION INFRASTRUCTURE</t>
  </si>
  <si>
    <t>SEWER PIPES UNIT H</t>
  </si>
  <si>
    <t>SEWER PIPES AZALEA - PHASE 2</t>
  </si>
  <si>
    <t>ELIMINATION OF CONSERVANCY TANKS - (SEWER)</t>
  </si>
  <si>
    <t>SERVICE MIDBLOCK ERADICATION IN SOBANTU, ASHDOWN &amp; IMBALI (SEWER)</t>
  </si>
  <si>
    <t>REDUCTION OF NON REVENUE WATER</t>
  </si>
  <si>
    <t>ELIMINATION OF CONSERVANCY TANKS - (WATER)</t>
  </si>
  <si>
    <t>SERVICE MIDBLOCK ERADICATION IN SOBANTU, ASHDOWN &amp; IMBALI (WATER)</t>
  </si>
  <si>
    <t>BASIC WATER SUPPLY</t>
  </si>
  <si>
    <t>MASONS RESERVOIR &amp; PIPELINE</t>
  </si>
  <si>
    <t>COPESVILLE RESERVOIR</t>
  </si>
  <si>
    <t>LANDFILL UPGRADE</t>
  </si>
  <si>
    <t xml:space="preserve">UPGRADE DESIGN OF GRAVEL ROADS - VULINDLELA - D 1128  (Phase 1, 2 and 3)  </t>
  </si>
  <si>
    <t>UPGRADE OF GRAVEL ROADS - WILLOWFOUNTAIN ROAD - Main Road, Phipha Road, Premier's Road</t>
  </si>
  <si>
    <t>UPGRADING OF GRAVEL/GRAVSEAL ROADS - EDENDALE - TAFULENI ROAD - 1.2 km</t>
  </si>
  <si>
    <t>HORSE SHOE ACCESS RD AND PASSAGES IN IMBALI STAGE 1 &amp; 2</t>
  </si>
  <si>
    <t>UPGRADING OF ROADS IN EDENDALE - KWANYAMAZANE ROADS</t>
  </si>
  <si>
    <t>UPGRADING OF GRAVEL ROADS - EDENDALE - STATION RD [next to Georgetown High School] (Raise &amp; Widen the bridge with associated roadworks)</t>
  </si>
  <si>
    <t>UPGRADING OF GRAVEL ROADS - EDENDALE - MACHIBISA / DAMBUSA RDS - Phase 2</t>
  </si>
  <si>
    <t>UPGRADING OF GRAVEL ROADS - GREATER EDENDALE - IMBALI BB - PHASE 2: New road next to Zondi store, Kancane Rd, Sibukosizwe Rd</t>
  </si>
  <si>
    <t>UPGRADING OF GRAVEL ROADS - VULINDLELA - D2069 (Mthalane Rd)</t>
  </si>
  <si>
    <t>UPGRADING OF GRAVEL ROADS - GREATER EDENDALE - Caluza Roads</t>
  </si>
  <si>
    <t>UPGRADING OF GRAVEL ROADS - GREATER EDENDALE - Smeroe roads &amp; SW</t>
  </si>
  <si>
    <t>UPGRADING OF GRAVEL ROADS - GREATER EDENDALE - Snathing Rds - 5.0km - (Mvubu Rd - 0.3km, Gudlintaba Rd - 0.4km, Gudlintaba 2 Rd - 0.4km, Mpompini Rd - 0.6km, Khoza Rd - 0.8km, Magaba Rd - 0.8km and Hlathini Ext Rd - 2.0km)</t>
  </si>
  <si>
    <t>UPGRADE SWD IN GREATER EDENDALE - Flooding Houses in Smeroe</t>
  </si>
  <si>
    <t>HIGH MAST LIGHTS IN VULINDLELA &amp; GREATER EDENDALE</t>
  </si>
  <si>
    <t>WS191</t>
  </si>
  <si>
    <t>WS 197</t>
  </si>
  <si>
    <t>WS 202</t>
  </si>
  <si>
    <t>WS 196</t>
  </si>
  <si>
    <t>WS 201</t>
  </si>
  <si>
    <t>WS 200</t>
  </si>
  <si>
    <t>WS 199</t>
  </si>
  <si>
    <t>WS 198</t>
  </si>
  <si>
    <t>WS 186</t>
  </si>
  <si>
    <t>WS 189</t>
  </si>
  <si>
    <t>WS 193</t>
  </si>
  <si>
    <t>WS 187</t>
  </si>
  <si>
    <t>WS 188</t>
  </si>
  <si>
    <t>WM 240</t>
  </si>
  <si>
    <t>RNMP 253</t>
  </si>
  <si>
    <t>RNMP 268</t>
  </si>
  <si>
    <t>RNMP 276</t>
  </si>
  <si>
    <t>RNMP 237</t>
  </si>
  <si>
    <t>RNMP 262</t>
  </si>
  <si>
    <t>RNMP 278</t>
  </si>
  <si>
    <t>REMP 266</t>
  </si>
  <si>
    <t>RNMP 284</t>
  </si>
  <si>
    <t>RNMP 270</t>
  </si>
  <si>
    <t>RNMP 280</t>
  </si>
  <si>
    <t>RNMP 255</t>
  </si>
  <si>
    <t>RNMP 264</t>
  </si>
  <si>
    <t>RNMP 271</t>
  </si>
  <si>
    <t>RNMP 274</t>
  </si>
  <si>
    <t>RENEWAL</t>
  </si>
  <si>
    <t>NEW</t>
  </si>
  <si>
    <t>Vote 3 - Infrastructure Services</t>
  </si>
  <si>
    <t>Function 1 - Water</t>
  </si>
  <si>
    <t>Sub-function 1 - Non-Revenue Water</t>
  </si>
  <si>
    <t>Reduction of Non-Revenue Water</t>
  </si>
  <si>
    <t>Sub-function 2 - New mains and reticulation</t>
  </si>
  <si>
    <t>Edendale proper new mains and reticulation</t>
  </si>
  <si>
    <t>Sub-function 3 - Water Supply</t>
  </si>
  <si>
    <t>Basic Water Supply</t>
  </si>
  <si>
    <t>Sub-function 4 - Resevoirs</t>
  </si>
  <si>
    <t>Copesville Reservoir</t>
  </si>
  <si>
    <t>Function 2 - Sanitation</t>
  </si>
  <si>
    <t>Sub-function 1 - Feasibility Study</t>
  </si>
  <si>
    <t>Sanitation Infrastructure Feasibility study</t>
  </si>
  <si>
    <t>Sub-function 2 - Rehabilitation</t>
  </si>
  <si>
    <t>Rehabilitation of Sanitation Infrastructure</t>
  </si>
  <si>
    <t>Sub-function 3 - Pump Stations</t>
  </si>
  <si>
    <t>Lincoln Meade sewer pump station</t>
  </si>
  <si>
    <t>Sub-function 4 - Installation of VIPs</t>
  </si>
  <si>
    <t>Installation of VIPs in Vulindlela</t>
  </si>
  <si>
    <t>Function 3 - Electricity</t>
  </si>
  <si>
    <t>Sub-function 1 - Refurbishment</t>
  </si>
  <si>
    <t>Refurbish of mini-subs &amp; pole transformers</t>
  </si>
  <si>
    <t>Medium Voltage Electrical Equipment</t>
  </si>
  <si>
    <t>Hilton Line</t>
  </si>
  <si>
    <t>Function 4 - Roads</t>
  </si>
  <si>
    <t>CONSTRUCTION - KHOZA ROAD</t>
  </si>
  <si>
    <t>Sub-function 2 - Refurbishment</t>
  </si>
  <si>
    <t>CONSTRUCTION - HLATHINI ROAD</t>
  </si>
  <si>
    <t>Sub-function 3 - Refurbishment</t>
  </si>
  <si>
    <t>MACHIBISA,DAMBUZA ROADS</t>
  </si>
  <si>
    <t>Sub-function 4 - Refurbishment</t>
  </si>
  <si>
    <t>UNIT P</t>
  </si>
  <si>
    <t>Sub-function 5 - Refurbishment</t>
  </si>
  <si>
    <t>REHAB OF GRAVEL ROAD D1128</t>
  </si>
  <si>
    <t>Sub-function 6 - Refurbishment</t>
  </si>
  <si>
    <t>REHAB OF WILLOWFOUNTAIN RD</t>
  </si>
  <si>
    <t>Sub-function 7 - Refurbishment</t>
  </si>
  <si>
    <t>REHAB OF ASHDOWN RD NETWORK</t>
  </si>
  <si>
    <t>Sub-function 8 - Refurbishment</t>
  </si>
  <si>
    <t>HORSE SHOE ACCESS ROAD IN IMBALI</t>
  </si>
  <si>
    <t>Sub-function 9 - Refurbishment</t>
  </si>
  <si>
    <t>CONSTRUCTION OF WATERFALL – EDN</t>
  </si>
  <si>
    <t>Sub-function 10 - Refurbishment</t>
  </si>
  <si>
    <t>MOSCOW ROAD</t>
  </si>
  <si>
    <t>Sub-function 11 - Refurbishment</t>
  </si>
  <si>
    <t>CONSTRUCTION OF STATION RD BRIDGE</t>
  </si>
  <si>
    <t>Sub-function 12 - Refurbishment</t>
  </si>
  <si>
    <t>CHOTA MOTALA / N3 INTERCHANGE</t>
  </si>
  <si>
    <t>Vote 4 - Community Services</t>
  </si>
  <si>
    <t>Function 1 - Waste Management</t>
  </si>
  <si>
    <t>Sub-function 1 - Purchase of new plant</t>
  </si>
  <si>
    <t>COMPACTORS</t>
  </si>
  <si>
    <t>Function 2 - Landfill Site</t>
  </si>
  <si>
    <t>Sub-function 1 - Upgrade</t>
  </si>
  <si>
    <t>Upgrade to Lanfill Site</t>
  </si>
  <si>
    <t>Vote 5 - Economic Development</t>
  </si>
  <si>
    <t>Function 1 - Local Economic Development</t>
  </si>
  <si>
    <t>Sub-function 1 - Freedom Square</t>
  </si>
  <si>
    <t xml:space="preserve">Upgrade to Freedom Square </t>
  </si>
  <si>
    <t>Percentage</t>
  </si>
  <si>
    <t>n/a</t>
  </si>
  <si>
    <t xml:space="preserve"> 20 783 000</t>
  </si>
  <si>
    <t>No of meters of pipe laid</t>
  </si>
  <si>
    <t>640 000</t>
  </si>
  <si>
    <t>No of meters of water pipe installed</t>
  </si>
  <si>
    <t>962 000</t>
  </si>
  <si>
    <t>Percentage Complete</t>
  </si>
  <si>
    <t>2 935 000</t>
  </si>
  <si>
    <t>No of km of pipe surveyed</t>
  </si>
  <si>
    <t>3 254 000</t>
  </si>
  <si>
    <t>No of km of pipe replaced and pump stations upgraded</t>
  </si>
  <si>
    <t>451 000</t>
  </si>
  <si>
    <t>6 418 000</t>
  </si>
  <si>
    <t>Number of VIPs</t>
  </si>
  <si>
    <t>18 731 000</t>
  </si>
  <si>
    <t>Number of mini-subs &amp; pole transformers replaced</t>
  </si>
  <si>
    <t>20 013 000</t>
  </si>
  <si>
    <t>Number of Medium Voltage Electrical Equipment replaced</t>
  </si>
  <si>
    <t>2 665 000</t>
  </si>
  <si>
    <t>Km of new line installed/replaced</t>
  </si>
  <si>
    <t>623 000</t>
  </si>
  <si>
    <t>No of km of Road upgraded</t>
  </si>
  <si>
    <t>1 683 000</t>
  </si>
  <si>
    <t>5 238 000</t>
  </si>
  <si>
    <t>20 953 000</t>
  </si>
  <si>
    <t>1 696 000</t>
  </si>
  <si>
    <t>No of km of Road upgraded and Rehabilitated</t>
  </si>
  <si>
    <t>8 598 000</t>
  </si>
  <si>
    <t>No of km of Road upgraded and Rehabilitation</t>
  </si>
  <si>
    <t>1 334 000</t>
  </si>
  <si>
    <t>1 470 000</t>
  </si>
  <si>
    <t>942 000</t>
  </si>
  <si>
    <t>2 013 000</t>
  </si>
  <si>
    <t>241 000</t>
  </si>
  <si>
    <t>471 000</t>
  </si>
  <si>
    <t>Construction of new bridge</t>
  </si>
  <si>
    <t>20 000 000</t>
  </si>
  <si>
    <t>Number of new compactors purchased</t>
  </si>
  <si>
    <t>11 141 000</t>
  </si>
  <si>
    <t>Percentage Upgrade to Lanfill Site</t>
  </si>
  <si>
    <t>5 647 000</t>
  </si>
  <si>
    <t>% Upgrade to Freedom Square</t>
  </si>
  <si>
    <t>14 300 000</t>
  </si>
  <si>
    <t>Sifiso Khoza</t>
  </si>
  <si>
    <t>033 392 2606</t>
  </si>
  <si>
    <t>084 5813065</t>
  </si>
  <si>
    <t>086 7702 781</t>
  </si>
  <si>
    <t>sifiso.khoza@msunduzi.gov.za</t>
  </si>
  <si>
    <t>Rodelle Frank</t>
  </si>
  <si>
    <t>033 392 2002</t>
  </si>
  <si>
    <t>Mxolisi Nkosi</t>
  </si>
  <si>
    <t>082 8066 788</t>
  </si>
  <si>
    <t>083 570 7111</t>
  </si>
  <si>
    <t>Shomala Dhanilal</t>
  </si>
  <si>
    <t>033 392 2601</t>
  </si>
  <si>
    <t>Babu Baijoo</t>
  </si>
  <si>
    <t>033 392 2035</t>
  </si>
  <si>
    <t>083 780 0504</t>
  </si>
  <si>
    <t>033 392 2208</t>
  </si>
  <si>
    <t>babu.baijoo@msunduzi.gov.za</t>
  </si>
  <si>
    <t>Nonhlanhla Mkhize</t>
  </si>
  <si>
    <t>033 392 2541</t>
  </si>
  <si>
    <t>nonhlanhla.mkhize@msunduzi.gov.za</t>
  </si>
  <si>
    <t>Chris Ndlela</t>
  </si>
  <si>
    <t>033 392 2036/7</t>
  </si>
  <si>
    <t>033 345 1637</t>
  </si>
  <si>
    <t>sandile.ngcobo@msunduzi.gov.za</t>
  </si>
  <si>
    <t>Sandile Ngcobo</t>
  </si>
  <si>
    <t>033 392 2006/7</t>
  </si>
  <si>
    <t>071 098 3966</t>
  </si>
  <si>
    <t>Thobani Zuma</t>
  </si>
  <si>
    <t>033 392 2037/6</t>
  </si>
  <si>
    <t>082 524 8979</t>
  </si>
  <si>
    <t>Ashreena Jethoo</t>
  </si>
  <si>
    <t>ashreena.jethoo@msunduzi.gov.za</t>
  </si>
  <si>
    <t>www.msunduzi.go.za</t>
  </si>
  <si>
    <t>033 392 2506</t>
  </si>
  <si>
    <t>shomala.dhanilal@msunduzi.gov.za</t>
  </si>
  <si>
    <t>082 611 7025</t>
  </si>
  <si>
    <t>072 629 9119</t>
  </si>
  <si>
    <t>Sixtus Gwala</t>
  </si>
  <si>
    <t>033 392 2568</t>
  </si>
  <si>
    <t>083 577 9175</t>
  </si>
  <si>
    <t>sixtus.gwala@msunduzi.gov.za</t>
  </si>
  <si>
    <t>086 2047 309</t>
  </si>
  <si>
    <t>mxolisi.nkosi@msunduzi.gov.za</t>
  </si>
  <si>
    <t>rodelle.frank@msunduzi.gov.za</t>
  </si>
  <si>
    <t>Pietermaritzburg</t>
  </si>
  <si>
    <t>Nyembezi</t>
  </si>
  <si>
    <t>341 Chruch street</t>
  </si>
  <si>
    <t>033 392 3000</t>
  </si>
  <si>
    <t>033 3922 506</t>
  </si>
  <si>
    <t>078 5440 936</t>
  </si>
  <si>
    <t>nelisiwe.Ngcobo@msunduzi.gov.za</t>
  </si>
  <si>
    <t>15 000 000</t>
  </si>
  <si>
    <t>1 200 000</t>
  </si>
  <si>
    <t>2 000 000</t>
  </si>
  <si>
    <t>21 219 450</t>
  </si>
  <si>
    <t>500 000</t>
  </si>
  <si>
    <t>10 000 000</t>
  </si>
  <si>
    <t>6 000 000</t>
  </si>
  <si>
    <t>12 500 000</t>
  </si>
  <si>
    <t>13 500 00</t>
  </si>
  <si>
    <t>3 000 000</t>
  </si>
  <si>
    <t>6 500 000</t>
  </si>
  <si>
    <t>2 500 000</t>
  </si>
  <si>
    <t>1 700 000</t>
  </si>
  <si>
    <t>4 000 000</t>
  </si>
  <si>
    <t>100 000</t>
  </si>
  <si>
    <t>16 790 000</t>
  </si>
  <si>
    <t>2 053 000</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</si>
</sst>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3" formatCode="_ * #,##0.00_ ;_ * \-#,##0.00_ ;_ * &quot;-&quot;??_ ;_ @_ "/>
    <numFmt numFmtId="172" formatCode="_ * #,##0_ ;_ * \-#,##0_ ;_ * &quot;-&quot;??_ ;_ @_ "/>
    <numFmt numFmtId="173" formatCode="_ * #,##0.0_ ;_ * \-#,##0.0_ ;_ * &quot;-&quot;??_ ;_ @_ "/>
    <numFmt numFmtId="174" formatCode="#,###,;[Red]\(#,###,\)"/>
    <numFmt numFmtId="175" formatCode="0.0%"/>
    <numFmt numFmtId="176" formatCode="#,###,;\(#,###,\)"/>
    <numFmt numFmtId="177" formatCode="#,###,,;\(#,###,,\)"/>
    <numFmt numFmtId="178" formatCode="0.0%;[Red]\(0.0%\)"/>
    <numFmt numFmtId="179" formatCode="0.0"/>
    <numFmt numFmtId="180" formatCode="#,##0,;[Red]\(#,##0,\)"/>
    <numFmt numFmtId="181" formatCode="_(* #,##0,,_);_(* \(#,##0,,\);_(* &quot;–&quot;?_);_(@_)"/>
    <numFmt numFmtId="182" formatCode="_(* #,##0,_);_(* \(#,##0,\);_(* &quot;–&quot;?_);_(@_)"/>
    <numFmt numFmtId="183" formatCode="_(* #,##0_);_(* \(#,##0\);_(* &quot;–&quot;?_);_(@_)"/>
    <numFmt numFmtId="184" formatCode="_(* #,##0.0_);_(* \(#,##0.0\);_(* &quot;–&quot;?_);_(@_)"/>
    <numFmt numFmtId="185" formatCode="_(* #,##0.000000_);_(* \(#,##0.000000\);_(* &quot;–&quot;?_);_(@_)"/>
    <numFmt numFmtId="186" formatCode="_(* #,##0.00_);_(* \(#,##0.00\);_(* &quot;–&quot;?_);_(@_)"/>
    <numFmt numFmtId="187" formatCode="_(* #,##0.0%_);_(* \(#,##0.0%\);_(* &quot;–&quot;?_);_(@_)"/>
    <numFmt numFmtId="188" formatCode="[$-1C09]dd\ mmmm\ yyyy"/>
    <numFmt numFmtId="189" formatCode="0000"/>
    <numFmt numFmtId="190" formatCode="#,##0.0000"/>
  </numFmts>
  <fonts count="50" x14ac:knownFonts="1">
    <font>
      <sz val="10"/>
      <name val="Arial"/>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b/>
      <sz val="10"/>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sz val="8"/>
      <name val="Trebuchet MS"/>
      <family val="2"/>
    </font>
    <font>
      <sz val="10"/>
      <color indexed="8"/>
      <name val="Arial"/>
      <family val="2"/>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8"/>
      <color theme="1"/>
      <name val="Arial Narrow"/>
      <family val="2"/>
    </font>
  </fonts>
  <fills count="23">
    <fill>
      <patternFill patternType="none"/>
    </fill>
    <fill>
      <patternFill patternType="gray125"/>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indexed="42"/>
        <bgColor indexed="64"/>
      </patternFill>
    </fill>
    <fill>
      <patternFill patternType="solid">
        <fgColor indexed="13"/>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rgb="FFFFC000"/>
        <bgColor indexed="64"/>
      </patternFill>
    </fill>
    <fill>
      <patternFill patternType="solid">
        <fgColor theme="0"/>
        <bgColor indexed="64"/>
      </patternFill>
    </fill>
    <fill>
      <patternFill patternType="solid">
        <fgColor theme="0" tint="-0.249977111117893"/>
        <bgColor indexed="64"/>
      </patternFill>
    </fill>
  </fills>
  <borders count="130">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style="medium">
        <color indexed="64"/>
      </left>
      <right style="thin">
        <color indexed="64"/>
      </right>
      <top style="dotted">
        <color indexed="64"/>
      </top>
      <bottom/>
      <diagonal/>
    </border>
    <border>
      <left style="thin">
        <color indexed="64"/>
      </left>
      <right style="medium">
        <color indexed="64"/>
      </right>
      <top style="dotted">
        <color indexed="64"/>
      </top>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style="medium">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tted">
        <color indexed="64"/>
      </left>
      <right style="thin">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dotted">
        <color indexed="64"/>
      </top>
      <bottom/>
      <diagonal/>
    </border>
    <border>
      <left/>
      <right/>
      <top/>
      <bottom style="dotted">
        <color indexed="64"/>
      </bottom>
      <diagonal/>
    </border>
    <border>
      <left/>
      <right style="medium">
        <color indexed="64"/>
      </right>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thin">
        <color indexed="64"/>
      </top>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thin">
        <color indexed="64"/>
      </right>
      <top style="double">
        <color indexed="64"/>
      </top>
      <bottom/>
      <diagonal/>
    </border>
    <border>
      <left/>
      <right style="hair">
        <color indexed="64"/>
      </right>
      <top/>
      <bottom style="hair">
        <color indexed="64"/>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style="hair">
        <color indexed="64"/>
      </left>
      <right/>
      <top style="thin">
        <color indexed="64"/>
      </top>
      <bottom style="hair">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9">
    <xf numFmtId="0" fontId="0" fillId="0" borderId="0"/>
    <xf numFmtId="43" fontId="1" fillId="0" borderId="0" applyFont="0" applyFill="0" applyBorder="0" applyAlignment="0" applyProtection="0"/>
    <xf numFmtId="43" fontId="1" fillId="0" borderId="0" applyFont="0" applyFill="0" applyBorder="0" applyAlignment="0" applyProtection="0"/>
    <xf numFmtId="0" fontId="6" fillId="0" borderId="0" applyNumberForma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24" fillId="0" borderId="0"/>
    <xf numFmtId="9" fontId="1" fillId="0" borderId="0" applyFont="0" applyFill="0" applyBorder="0" applyAlignment="0" applyProtection="0"/>
    <xf numFmtId="9" fontId="28" fillId="0" borderId="0" applyFont="0" applyFill="0" applyBorder="0" applyAlignment="0" applyProtection="0"/>
  </cellStyleXfs>
  <cellXfs count="2783">
    <xf numFmtId="0" fontId="0" fillId="0" borderId="0" xfId="0"/>
    <xf numFmtId="0" fontId="4" fillId="0" borderId="0" xfId="0" applyFont="1"/>
    <xf numFmtId="0" fontId="2" fillId="0" borderId="0" xfId="0" applyFont="1"/>
    <xf numFmtId="0" fontId="5" fillId="0" borderId="0" xfId="0" applyFont="1"/>
    <xf numFmtId="0" fontId="2" fillId="0" borderId="1" xfId="0" applyFont="1" applyBorder="1" applyAlignment="1">
      <alignment horizontal="center"/>
    </xf>
    <xf numFmtId="0" fontId="2" fillId="0" borderId="0" xfId="0" applyFont="1" applyBorder="1" applyAlignment="1">
      <alignment horizontal="center"/>
    </xf>
    <xf numFmtId="0" fontId="2" fillId="0" borderId="0" xfId="0" applyFont="1" applyBorder="1"/>
    <xf numFmtId="9" fontId="5" fillId="0" borderId="2" xfId="7" applyFont="1" applyBorder="1" applyAlignment="1">
      <alignment horizontal="center"/>
    </xf>
    <xf numFmtId="0" fontId="5" fillId="0" borderId="2" xfId="0" applyFont="1" applyBorder="1"/>
    <xf numFmtId="0" fontId="2" fillId="0" borderId="0" xfId="0" applyFont="1" applyAlignment="1">
      <alignment horizontal="center"/>
    </xf>
    <xf numFmtId="0" fontId="2" fillId="0" borderId="3" xfId="0" applyFont="1" applyBorder="1"/>
    <xf numFmtId="0" fontId="2" fillId="0" borderId="4" xfId="0" applyFont="1" applyBorder="1"/>
    <xf numFmtId="0" fontId="5" fillId="0" borderId="1" xfId="0" applyFont="1" applyBorder="1" applyAlignment="1">
      <alignment horizontal="center"/>
    </xf>
    <xf numFmtId="0" fontId="2" fillId="0" borderId="1" xfId="0" applyFont="1" applyBorder="1"/>
    <xf numFmtId="0" fontId="2" fillId="0" borderId="5" xfId="0" applyFont="1" applyBorder="1"/>
    <xf numFmtId="0" fontId="5" fillId="0" borderId="1"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2" fillId="0" borderId="10" xfId="0" applyFont="1" applyBorder="1"/>
    <xf numFmtId="0" fontId="2" fillId="0" borderId="11" xfId="0" applyFont="1" applyBorder="1" applyAlignment="1">
      <alignment horizontal="center"/>
    </xf>
    <xf numFmtId="0" fontId="2" fillId="0" borderId="5" xfId="0" applyFont="1" applyBorder="1" applyAlignment="1">
      <alignment horizontal="center"/>
    </xf>
    <xf numFmtId="0" fontId="2" fillId="0" borderId="12" xfId="0" applyFont="1" applyBorder="1" applyAlignment="1">
      <alignment horizontal="center"/>
    </xf>
    <xf numFmtId="0" fontId="2" fillId="0" borderId="3" xfId="0" applyFont="1" applyBorder="1" applyAlignment="1">
      <alignment horizontal="center"/>
    </xf>
    <xf numFmtId="0" fontId="2" fillId="0" borderId="4" xfId="0" applyFont="1" applyBorder="1" applyAlignment="1">
      <alignment horizontal="center"/>
    </xf>
    <xf numFmtId="0" fontId="5" fillId="2" borderId="1" xfId="0" applyFont="1" applyFill="1" applyBorder="1" applyAlignment="1">
      <alignment horizontal="center" vertical="top" wrapText="1"/>
    </xf>
    <xf numFmtId="0" fontId="5" fillId="2" borderId="13" xfId="0" applyFont="1" applyFill="1" applyBorder="1" applyAlignment="1">
      <alignment horizontal="center" vertical="top" wrapText="1"/>
    </xf>
    <xf numFmtId="0" fontId="5" fillId="2" borderId="14" xfId="0" applyFont="1" applyFill="1" applyBorder="1" applyAlignment="1">
      <alignment horizontal="center" vertical="top" wrapText="1"/>
    </xf>
    <xf numFmtId="0" fontId="5" fillId="2" borderId="15" xfId="0" applyFont="1" applyFill="1" applyBorder="1" applyAlignment="1">
      <alignment horizontal="center" vertical="top" wrapText="1"/>
    </xf>
    <xf numFmtId="0" fontId="5" fillId="2" borderId="5" xfId="0" applyFont="1" applyFill="1" applyBorder="1" applyAlignment="1">
      <alignment horizontal="center" vertical="top" wrapText="1"/>
    </xf>
    <xf numFmtId="0" fontId="5" fillId="2" borderId="9" xfId="0" applyFont="1" applyFill="1" applyBorder="1" applyAlignment="1">
      <alignment horizontal="center" vertical="top" wrapText="1"/>
    </xf>
    <xf numFmtId="0" fontId="5" fillId="2" borderId="16" xfId="0" applyFont="1" applyFill="1" applyBorder="1" applyAlignment="1">
      <alignment horizontal="center" vertical="top" wrapText="1"/>
    </xf>
    <xf numFmtId="0" fontId="4" fillId="2" borderId="5" xfId="0" applyFont="1" applyFill="1" applyBorder="1" applyAlignment="1">
      <alignment horizontal="center" vertical="center"/>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11" xfId="0" applyFont="1" applyFill="1" applyBorder="1" applyAlignment="1">
      <alignment horizontal="center" vertical="center"/>
    </xf>
    <xf numFmtId="0" fontId="5" fillId="0" borderId="1" xfId="0" applyFont="1" applyBorder="1" applyAlignment="1">
      <alignment horizontal="left"/>
    </xf>
    <xf numFmtId="0" fontId="5" fillId="0" borderId="5" xfId="0" applyFont="1" applyBorder="1" applyAlignment="1">
      <alignment horizontal="center"/>
    </xf>
    <xf numFmtId="0" fontId="5" fillId="2" borderId="0" xfId="0" applyFont="1" applyFill="1" applyBorder="1" applyAlignment="1">
      <alignment horizontal="center" vertical="center" wrapText="1"/>
    </xf>
    <xf numFmtId="0" fontId="5" fillId="2" borderId="17" xfId="0" applyFont="1" applyFill="1" applyBorder="1" applyAlignment="1">
      <alignment horizontal="center"/>
    </xf>
    <xf numFmtId="0" fontId="2" fillId="3" borderId="12" xfId="0" applyFont="1" applyFill="1" applyBorder="1" applyAlignment="1">
      <alignment horizontal="left"/>
    </xf>
    <xf numFmtId="0" fontId="2" fillId="3" borderId="6" xfId="0" applyFont="1" applyFill="1" applyBorder="1"/>
    <xf numFmtId="0" fontId="2" fillId="3" borderId="7" xfId="0" applyFont="1" applyFill="1" applyBorder="1"/>
    <xf numFmtId="0" fontId="2" fillId="3" borderId="3" xfId="0" applyFont="1" applyFill="1" applyBorder="1" applyAlignment="1">
      <alignment horizontal="left"/>
    </xf>
    <xf numFmtId="0" fontId="2" fillId="3" borderId="0" xfId="0" applyFont="1" applyFill="1" applyBorder="1"/>
    <xf numFmtId="0" fontId="2" fillId="3" borderId="8" xfId="0" applyFont="1" applyFill="1" applyBorder="1"/>
    <xf numFmtId="0" fontId="5" fillId="4" borderId="2" xfId="0" applyFont="1" applyFill="1" applyBorder="1" applyAlignment="1">
      <alignment horizontal="center"/>
    </xf>
    <xf numFmtId="0" fontId="5" fillId="5" borderId="2" xfId="0" applyFont="1" applyFill="1" applyBorder="1" applyAlignment="1">
      <alignment horizontal="center"/>
    </xf>
    <xf numFmtId="0" fontId="2" fillId="3" borderId="6" xfId="0" applyFont="1" applyFill="1" applyBorder="1" applyAlignment="1">
      <alignment horizontal="center"/>
    </xf>
    <xf numFmtId="0" fontId="2" fillId="3" borderId="0" xfId="0" applyFont="1" applyFill="1" applyBorder="1" applyAlignment="1">
      <alignment horizontal="center"/>
    </xf>
    <xf numFmtId="0" fontId="5" fillId="0" borderId="0" xfId="0" applyFont="1" applyAlignment="1">
      <alignment horizontal="right"/>
    </xf>
    <xf numFmtId="9" fontId="2" fillId="0" borderId="1" xfId="7" applyFont="1" applyBorder="1" applyAlignment="1">
      <alignment horizontal="center"/>
    </xf>
    <xf numFmtId="9" fontId="2" fillId="0" borderId="5" xfId="7" applyFont="1" applyBorder="1" applyAlignment="1">
      <alignment horizontal="center"/>
    </xf>
    <xf numFmtId="0" fontId="2" fillId="0" borderId="12" xfId="0" applyFont="1" applyBorder="1"/>
    <xf numFmtId="9" fontId="2" fillId="0" borderId="11" xfId="7" applyFont="1" applyBorder="1" applyAlignment="1">
      <alignment horizontal="center"/>
    </xf>
    <xf numFmtId="175" fontId="2" fillId="0" borderId="1" xfId="7" applyNumberFormat="1" applyFont="1" applyBorder="1" applyAlignment="1">
      <alignment horizontal="center"/>
    </xf>
    <xf numFmtId="175" fontId="2" fillId="0" borderId="5" xfId="7" applyNumberFormat="1" applyFont="1" applyBorder="1" applyAlignment="1">
      <alignment horizontal="center"/>
    </xf>
    <xf numFmtId="10" fontId="2" fillId="0" borderId="1" xfId="7" applyNumberFormat="1" applyFont="1" applyBorder="1" applyAlignment="1">
      <alignment horizontal="center"/>
    </xf>
    <xf numFmtId="9" fontId="5" fillId="0" borderId="2" xfId="0" applyNumberFormat="1" applyFont="1" applyBorder="1" applyAlignment="1">
      <alignment horizontal="center"/>
    </xf>
    <xf numFmtId="43" fontId="2" fillId="0" borderId="1" xfId="1" applyFont="1" applyBorder="1" applyAlignment="1">
      <alignment horizontal="center"/>
    </xf>
    <xf numFmtId="0" fontId="5" fillId="2" borderId="1" xfId="0" applyFont="1" applyFill="1" applyBorder="1" applyAlignment="1">
      <alignment horizontal="center" vertical="center"/>
    </xf>
    <xf numFmtId="1" fontId="5" fillId="0" borderId="2" xfId="0" applyNumberFormat="1" applyFont="1" applyBorder="1" applyAlignment="1">
      <alignment horizontal="center"/>
    </xf>
    <xf numFmtId="43" fontId="5" fillId="0" borderId="1" xfId="0" applyNumberFormat="1" applyFont="1" applyBorder="1" applyAlignment="1">
      <alignment horizontal="center"/>
    </xf>
    <xf numFmtId="2" fontId="2" fillId="0" borderId="1" xfId="0" applyNumberFormat="1" applyFont="1" applyBorder="1" applyAlignment="1">
      <alignment horizontal="center"/>
    </xf>
    <xf numFmtId="2" fontId="2" fillId="0" borderId="5" xfId="0" applyNumberFormat="1" applyFont="1" applyBorder="1" applyAlignment="1">
      <alignment horizontal="center"/>
    </xf>
    <xf numFmtId="2" fontId="2" fillId="0" borderId="11" xfId="0" applyNumberFormat="1" applyFont="1" applyBorder="1" applyAlignment="1">
      <alignment horizontal="center"/>
    </xf>
    <xf numFmtId="9" fontId="5" fillId="0" borderId="2" xfId="7" applyNumberFormat="1" applyFont="1" applyBorder="1" applyAlignment="1">
      <alignment horizontal="center"/>
    </xf>
    <xf numFmtId="0" fontId="2" fillId="0" borderId="2" xfId="0" applyFont="1" applyBorder="1"/>
    <xf numFmtId="0" fontId="5" fillId="0" borderId="1" xfId="0" applyFont="1" applyBorder="1" applyAlignment="1">
      <alignment horizontal="left" indent="1"/>
    </xf>
    <xf numFmtId="0" fontId="2" fillId="0" borderId="1" xfId="0" applyFont="1" applyBorder="1" applyAlignment="1">
      <alignment horizontal="left" indent="2"/>
    </xf>
    <xf numFmtId="0" fontId="2" fillId="0" borderId="1" xfId="0" applyFont="1" applyBorder="1" applyAlignment="1">
      <alignment horizontal="left" indent="3"/>
    </xf>
    <xf numFmtId="180" fontId="2" fillId="0" borderId="11" xfId="0" applyNumberFormat="1" applyFont="1" applyBorder="1"/>
    <xf numFmtId="180" fontId="2" fillId="0" borderId="12" xfId="0" applyNumberFormat="1" applyFont="1" applyBorder="1"/>
    <xf numFmtId="180" fontId="2" fillId="0" borderId="18" xfId="0" applyNumberFormat="1" applyFont="1" applyBorder="1"/>
    <xf numFmtId="180" fontId="2" fillId="0" borderId="19" xfId="0" applyNumberFormat="1" applyFont="1" applyBorder="1"/>
    <xf numFmtId="180" fontId="2" fillId="0" borderId="1" xfId="0" applyNumberFormat="1" applyFont="1" applyBorder="1"/>
    <xf numFmtId="180" fontId="2" fillId="0" borderId="3" xfId="0" applyNumberFormat="1" applyFont="1" applyBorder="1"/>
    <xf numFmtId="180" fontId="2" fillId="0" borderId="13" xfId="0" applyNumberFormat="1" applyFont="1" applyBorder="1"/>
    <xf numFmtId="180" fontId="2" fillId="0" borderId="14" xfId="0" applyNumberFormat="1" applyFont="1" applyBorder="1"/>
    <xf numFmtId="180" fontId="5" fillId="0" borderId="1" xfId="0" applyNumberFormat="1" applyFont="1" applyBorder="1"/>
    <xf numFmtId="180" fontId="5" fillId="0" borderId="3" xfId="0" applyNumberFormat="1" applyFont="1" applyBorder="1"/>
    <xf numFmtId="180" fontId="5" fillId="0" borderId="13" xfId="0" applyNumberFormat="1" applyFont="1" applyBorder="1"/>
    <xf numFmtId="180" fontId="5" fillId="0" borderId="14" xfId="0" applyNumberFormat="1" applyFont="1" applyBorder="1"/>
    <xf numFmtId="180" fontId="2" fillId="0" borderId="20" xfId="0" applyNumberFormat="1" applyFont="1" applyBorder="1"/>
    <xf numFmtId="180" fontId="2" fillId="0" borderId="21" xfId="0" applyNumberFormat="1" applyFont="1" applyBorder="1"/>
    <xf numFmtId="180" fontId="2" fillId="0" borderId="22" xfId="0" applyNumberFormat="1" applyFont="1" applyBorder="1"/>
    <xf numFmtId="180" fontId="2" fillId="0" borderId="23" xfId="0" applyNumberFormat="1" applyFont="1" applyBorder="1"/>
    <xf numFmtId="180" fontId="2" fillId="0" borderId="24" xfId="0" applyNumberFormat="1" applyFont="1" applyBorder="1"/>
    <xf numFmtId="180" fontId="2" fillId="0" borderId="25" xfId="0" applyNumberFormat="1" applyFont="1" applyBorder="1"/>
    <xf numFmtId="180" fontId="2" fillId="0" borderId="26" xfId="0" applyNumberFormat="1" applyFont="1" applyBorder="1"/>
    <xf numFmtId="180" fontId="2" fillId="0" borderId="27" xfId="0" applyNumberFormat="1" applyFont="1" applyBorder="1"/>
    <xf numFmtId="180" fontId="5" fillId="0" borderId="2" xfId="0" applyNumberFormat="1" applyFont="1" applyBorder="1"/>
    <xf numFmtId="180" fontId="5" fillId="0" borderId="17" xfId="0" applyNumberFormat="1" applyFont="1" applyBorder="1"/>
    <xf numFmtId="180" fontId="5" fillId="0" borderId="28" xfId="0" applyNumberFormat="1" applyFont="1" applyBorder="1"/>
    <xf numFmtId="180" fontId="5" fillId="0" borderId="29" xfId="0" applyNumberFormat="1" applyFont="1" applyBorder="1"/>
    <xf numFmtId="180" fontId="2" fillId="0" borderId="5" xfId="0" applyNumberFormat="1" applyFont="1" applyBorder="1"/>
    <xf numFmtId="0" fontId="4" fillId="0" borderId="1" xfId="0" applyFont="1" applyBorder="1" applyAlignment="1">
      <alignment horizontal="left" indent="2"/>
    </xf>
    <xf numFmtId="0" fontId="4" fillId="0" borderId="1" xfId="0" applyFont="1" applyBorder="1" applyAlignment="1">
      <alignment horizontal="left" indent="3"/>
    </xf>
    <xf numFmtId="0" fontId="5" fillId="0" borderId="1" xfId="0" applyFont="1" applyBorder="1" applyAlignment="1">
      <alignment horizontal="left" indent="2"/>
    </xf>
    <xf numFmtId="180" fontId="2" fillId="0" borderId="30" xfId="0" applyNumberFormat="1" applyFont="1" applyBorder="1"/>
    <xf numFmtId="180" fontId="5" fillId="0" borderId="20" xfId="0" applyNumberFormat="1" applyFont="1" applyBorder="1"/>
    <xf numFmtId="180" fontId="5" fillId="0" borderId="21" xfId="0" applyNumberFormat="1" applyFont="1" applyBorder="1"/>
    <xf numFmtId="180" fontId="5" fillId="0" borderId="22" xfId="0" applyNumberFormat="1" applyFont="1" applyBorder="1"/>
    <xf numFmtId="180" fontId="5" fillId="0" borderId="24" xfId="0" applyNumberFormat="1" applyFont="1" applyBorder="1"/>
    <xf numFmtId="180" fontId="5" fillId="0" borderId="25" xfId="0" applyNumberFormat="1" applyFont="1" applyBorder="1"/>
    <xf numFmtId="180" fontId="5" fillId="0" borderId="26" xfId="0" applyNumberFormat="1" applyFont="1" applyBorder="1"/>
    <xf numFmtId="180" fontId="4" fillId="0" borderId="20" xfId="0" applyNumberFormat="1" applyFont="1" applyBorder="1"/>
    <xf numFmtId="180" fontId="4" fillId="0" borderId="21" xfId="0" applyNumberFormat="1" applyFont="1" applyBorder="1"/>
    <xf numFmtId="180" fontId="4" fillId="0" borderId="22" xfId="0" applyNumberFormat="1" applyFont="1" applyBorder="1"/>
    <xf numFmtId="180" fontId="4" fillId="0" borderId="1" xfId="0" applyNumberFormat="1" applyFont="1" applyBorder="1"/>
    <xf numFmtId="180" fontId="4" fillId="0" borderId="3" xfId="0" applyNumberFormat="1" applyFont="1" applyBorder="1"/>
    <xf numFmtId="180" fontId="4" fillId="0" borderId="13" xfId="0" applyNumberFormat="1" applyFont="1" applyBorder="1"/>
    <xf numFmtId="180" fontId="4" fillId="0" borderId="24" xfId="0" applyNumberFormat="1" applyFont="1" applyBorder="1"/>
    <xf numFmtId="180" fontId="4" fillId="0" borderId="25" xfId="0" applyNumberFormat="1" applyFont="1" applyBorder="1"/>
    <xf numFmtId="180" fontId="4" fillId="0" borderId="26" xfId="0" applyNumberFormat="1" applyFont="1" applyBorder="1"/>
    <xf numFmtId="180" fontId="4" fillId="0" borderId="14" xfId="0" applyNumberFormat="1" applyFont="1" applyBorder="1"/>
    <xf numFmtId="180" fontId="5" fillId="0" borderId="23" xfId="0" applyNumberFormat="1" applyFont="1" applyBorder="1"/>
    <xf numFmtId="180" fontId="5" fillId="0" borderId="27" xfId="0" applyNumberFormat="1" applyFont="1" applyBorder="1"/>
    <xf numFmtId="180" fontId="4" fillId="0" borderId="23" xfId="0" applyNumberFormat="1" applyFont="1" applyBorder="1"/>
    <xf numFmtId="180" fontId="4" fillId="0" borderId="27" xfId="0" applyNumberFormat="1" applyFont="1" applyBorder="1"/>
    <xf numFmtId="0" fontId="5" fillId="2" borderId="12" xfId="0" applyFont="1" applyFill="1" applyBorder="1" applyAlignment="1"/>
    <xf numFmtId="0" fontId="5" fillId="2" borderId="6" xfId="0" applyFont="1" applyFill="1" applyBorder="1" applyAlignment="1"/>
    <xf numFmtId="180" fontId="2" fillId="0" borderId="0" xfId="0" applyNumberFormat="1" applyFont="1"/>
    <xf numFmtId="180" fontId="2" fillId="6" borderId="1" xfId="0" applyNumberFormat="1" applyFont="1" applyFill="1" applyBorder="1"/>
    <xf numFmtId="180" fontId="2" fillId="0" borderId="24" xfId="0" applyNumberFormat="1" applyFont="1" applyFill="1" applyBorder="1"/>
    <xf numFmtId="180" fontId="2" fillId="0" borderId="4" xfId="0" applyNumberFormat="1" applyFont="1" applyBorder="1"/>
    <xf numFmtId="180" fontId="2" fillId="0" borderId="31" xfId="0" applyNumberFormat="1" applyFont="1" applyBorder="1"/>
    <xf numFmtId="180" fontId="2" fillId="0" borderId="32" xfId="0" applyNumberFormat="1" applyFont="1" applyBorder="1"/>
    <xf numFmtId="180" fontId="2" fillId="0" borderId="33" xfId="0" applyNumberFormat="1" applyFont="1" applyBorder="1"/>
    <xf numFmtId="0" fontId="5" fillId="5" borderId="0" xfId="0" applyFont="1" applyFill="1" applyAlignment="1">
      <alignment horizontal="center" vertical="top" wrapText="1"/>
    </xf>
    <xf numFmtId="0" fontId="5" fillId="5" borderId="2" xfId="0" applyFont="1" applyFill="1" applyBorder="1" applyAlignment="1">
      <alignment horizontal="center" vertical="top" wrapText="1"/>
    </xf>
    <xf numFmtId="0" fontId="10" fillId="0" borderId="0" xfId="0" applyFont="1"/>
    <xf numFmtId="0" fontId="5" fillId="5" borderId="17" xfId="0" applyFont="1" applyFill="1" applyBorder="1" applyAlignment="1">
      <alignment horizontal="center" vertical="top" wrapText="1"/>
    </xf>
    <xf numFmtId="0" fontId="5" fillId="5" borderId="34" xfId="0" applyFont="1" applyFill="1" applyBorder="1" applyAlignment="1">
      <alignment horizontal="center" vertical="top" wrapText="1"/>
    </xf>
    <xf numFmtId="0" fontId="5" fillId="5" borderId="35" xfId="0" applyFont="1" applyFill="1" applyBorder="1" applyAlignment="1">
      <alignment horizontal="center" vertical="top" wrapText="1"/>
    </xf>
    <xf numFmtId="9" fontId="5" fillId="0" borderId="11" xfId="7" applyFont="1" applyBorder="1" applyAlignment="1">
      <alignment horizontal="center"/>
    </xf>
    <xf numFmtId="1" fontId="5" fillId="0" borderId="11" xfId="0" applyNumberFormat="1" applyFont="1" applyBorder="1" applyAlignment="1">
      <alignment horizontal="center"/>
    </xf>
    <xf numFmtId="0" fontId="14" fillId="0" borderId="36" xfId="0" applyFont="1" applyFill="1" applyBorder="1" applyAlignment="1">
      <alignment horizontal="center" vertical="top" wrapText="1"/>
    </xf>
    <xf numFmtId="0" fontId="14" fillId="0" borderId="37" xfId="0" applyFont="1" applyFill="1" applyBorder="1" applyAlignment="1">
      <alignment horizontal="center" vertical="top" wrapText="1"/>
    </xf>
    <xf numFmtId="0" fontId="14" fillId="0" borderId="5" xfId="0" applyFont="1" applyFill="1" applyBorder="1" applyAlignment="1">
      <alignment horizontal="center" vertical="top" wrapText="1"/>
    </xf>
    <xf numFmtId="0" fontId="14" fillId="0" borderId="4" xfId="0" applyFont="1" applyFill="1" applyBorder="1" applyAlignment="1">
      <alignment horizontal="center" vertical="center"/>
    </xf>
    <xf numFmtId="0" fontId="14" fillId="0" borderId="12" xfId="0" applyFont="1" applyFill="1" applyBorder="1" applyAlignment="1">
      <alignment horizontal="center" vertical="center"/>
    </xf>
    <xf numFmtId="0" fontId="17" fillId="0" borderId="0" xfId="0" applyFont="1" applyBorder="1" applyAlignment="1">
      <alignment horizontal="left" vertical="top" wrapText="1"/>
    </xf>
    <xf numFmtId="0" fontId="14" fillId="0" borderId="38" xfId="0" applyFont="1" applyFill="1" applyBorder="1" applyAlignment="1">
      <alignment horizontal="center" vertical="center" wrapText="1"/>
    </xf>
    <xf numFmtId="0" fontId="14" fillId="0" borderId="39" xfId="0" applyFont="1" applyFill="1" applyBorder="1" applyAlignment="1">
      <alignment horizontal="center" vertical="center" wrapText="1"/>
    </xf>
    <xf numFmtId="0" fontId="14" fillId="0" borderId="40" xfId="0" applyFont="1" applyFill="1" applyBorder="1" applyAlignment="1">
      <alignment horizontal="center" vertical="center" wrapText="1"/>
    </xf>
    <xf numFmtId="0" fontId="9" fillId="0" borderId="9" xfId="0" applyFont="1" applyFill="1" applyBorder="1" applyAlignment="1">
      <alignment horizontal="left"/>
    </xf>
    <xf numFmtId="0" fontId="14" fillId="0" borderId="9" xfId="0" applyFont="1" applyFill="1" applyBorder="1" applyAlignment="1">
      <alignment horizontal="centerContinuous"/>
    </xf>
    <xf numFmtId="0" fontId="12" fillId="0" borderId="0" xfId="0" applyFont="1"/>
    <xf numFmtId="0" fontId="14" fillId="0" borderId="41"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4" fillId="0" borderId="42"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4" xfId="0" applyFont="1" applyFill="1" applyBorder="1" applyAlignment="1">
      <alignment horizontal="center" vertical="top" wrapText="1"/>
    </xf>
    <xf numFmtId="0" fontId="14" fillId="0" borderId="10" xfId="0" applyFont="1" applyFill="1" applyBorder="1" applyAlignment="1">
      <alignment horizontal="center" vertical="top" wrapText="1"/>
    </xf>
    <xf numFmtId="0" fontId="14" fillId="0" borderId="9" xfId="0" applyFont="1" applyFill="1" applyBorder="1" applyAlignment="1">
      <alignment horizontal="center" vertical="top" wrapText="1"/>
    </xf>
    <xf numFmtId="181" fontId="12" fillId="0" borderId="3" xfId="0" applyNumberFormat="1" applyFont="1" applyBorder="1"/>
    <xf numFmtId="181" fontId="12" fillId="0" borderId="42" xfId="0" applyNumberFormat="1" applyFont="1" applyBorder="1"/>
    <xf numFmtId="181" fontId="12" fillId="0" borderId="8" xfId="0" applyNumberFormat="1" applyFont="1" applyBorder="1"/>
    <xf numFmtId="181" fontId="12" fillId="0" borderId="0" xfId="0" applyNumberFormat="1" applyFont="1" applyBorder="1"/>
    <xf numFmtId="181" fontId="12" fillId="0" borderId="3" xfId="0" applyNumberFormat="1" applyFont="1" applyFill="1" applyBorder="1"/>
    <xf numFmtId="181" fontId="12" fillId="0" borderId="42" xfId="0" applyNumberFormat="1" applyFont="1" applyFill="1" applyBorder="1"/>
    <xf numFmtId="181" fontId="12" fillId="0" borderId="8" xfId="0" applyNumberFormat="1" applyFont="1" applyFill="1" applyBorder="1"/>
    <xf numFmtId="181" fontId="12" fillId="0" borderId="12" xfId="0" applyNumberFormat="1" applyFont="1" applyBorder="1"/>
    <xf numFmtId="181" fontId="12" fillId="0" borderId="43" xfId="0" applyNumberFormat="1" applyFont="1" applyBorder="1"/>
    <xf numFmtId="181" fontId="12" fillId="0" borderId="7" xfId="0" applyNumberFormat="1" applyFont="1" applyBorder="1"/>
    <xf numFmtId="181" fontId="12" fillId="0" borderId="6" xfId="0" applyNumberFormat="1" applyFont="1" applyBorder="1"/>
    <xf numFmtId="181" fontId="14" fillId="0" borderId="3" xfId="0" applyNumberFormat="1" applyFont="1" applyBorder="1"/>
    <xf numFmtId="181" fontId="14" fillId="0" borderId="42" xfId="0" applyNumberFormat="1" applyFont="1" applyBorder="1"/>
    <xf numFmtId="181" fontId="14" fillId="0" borderId="8" xfId="0" applyNumberFormat="1" applyFont="1" applyBorder="1"/>
    <xf numFmtId="181" fontId="14" fillId="0" borderId="0" xfId="0" applyNumberFormat="1" applyFont="1" applyBorder="1"/>
    <xf numFmtId="0" fontId="14" fillId="0" borderId="44" xfId="0" applyNumberFormat="1" applyFont="1" applyBorder="1"/>
    <xf numFmtId="181" fontId="12" fillId="0" borderId="4" xfId="0" applyNumberFormat="1" applyFont="1" applyBorder="1"/>
    <xf numFmtId="181" fontId="12" fillId="0" borderId="36" xfId="0" applyNumberFormat="1" applyFont="1" applyBorder="1"/>
    <xf numFmtId="181" fontId="12" fillId="0" borderId="10" xfId="0" applyNumberFormat="1" applyFont="1" applyBorder="1"/>
    <xf numFmtId="181" fontId="12" fillId="0" borderId="9" xfId="0" applyNumberFormat="1" applyFont="1" applyBorder="1"/>
    <xf numFmtId="0" fontId="12" fillId="0" borderId="0" xfId="0" applyFont="1" applyAlignment="1">
      <alignment horizontal="left" wrapText="1"/>
    </xf>
    <xf numFmtId="0" fontId="7" fillId="0" borderId="0" xfId="0" applyFont="1"/>
    <xf numFmtId="0" fontId="14" fillId="0" borderId="4" xfId="0" applyFont="1" applyFill="1" applyBorder="1" applyAlignment="1">
      <alignment horizontal="left" vertical="center"/>
    </xf>
    <xf numFmtId="0" fontId="16" fillId="0" borderId="3" xfId="0" applyFont="1" applyBorder="1"/>
    <xf numFmtId="0" fontId="12" fillId="0" borderId="42" xfId="0" applyNumberFormat="1" applyFont="1" applyBorder="1" applyAlignment="1">
      <alignment horizontal="center"/>
    </xf>
    <xf numFmtId="0" fontId="14" fillId="0" borderId="6" xfId="0" applyFont="1" applyBorder="1" applyAlignment="1">
      <alignment horizontal="center"/>
    </xf>
    <xf numFmtId="0" fontId="14" fillId="0" borderId="43" xfId="0" applyFont="1" applyBorder="1" applyAlignment="1">
      <alignment horizontal="center"/>
    </xf>
    <xf numFmtId="0" fontId="14" fillId="0" borderId="7" xfId="0" applyFont="1" applyBorder="1" applyAlignment="1">
      <alignment horizontal="center"/>
    </xf>
    <xf numFmtId="0" fontId="14" fillId="0" borderId="12" xfId="0" applyFont="1" applyBorder="1" applyAlignment="1">
      <alignment horizontal="center"/>
    </xf>
    <xf numFmtId="0" fontId="14" fillId="0" borderId="45" xfId="0" applyFont="1" applyBorder="1" applyAlignment="1">
      <alignment horizontal="center"/>
    </xf>
    <xf numFmtId="0" fontId="14" fillId="0" borderId="8" xfId="0" applyFont="1" applyBorder="1" applyAlignment="1">
      <alignment horizontal="center"/>
    </xf>
    <xf numFmtId="0" fontId="14" fillId="0" borderId="1" xfId="0" applyFont="1" applyBorder="1" applyAlignment="1">
      <alignment horizontal="center"/>
    </xf>
    <xf numFmtId="0" fontId="12" fillId="0" borderId="3" xfId="0" applyFont="1" applyBorder="1" applyAlignment="1">
      <alignment horizontal="left" indent="1"/>
    </xf>
    <xf numFmtId="182" fontId="12" fillId="0" borderId="0" xfId="0" applyNumberFormat="1" applyFont="1" applyBorder="1" applyAlignment="1">
      <alignment horizontal="right"/>
    </xf>
    <xf numFmtId="182" fontId="12" fillId="0" borderId="42" xfId="0" applyNumberFormat="1" applyFont="1" applyBorder="1" applyAlignment="1">
      <alignment horizontal="right"/>
    </xf>
    <xf numFmtId="182" fontId="12" fillId="0" borderId="8" xfId="0" applyNumberFormat="1" applyFont="1" applyBorder="1" applyAlignment="1">
      <alignment horizontal="right"/>
    </xf>
    <xf numFmtId="182" fontId="12" fillId="0" borderId="3" xfId="0" applyNumberFormat="1" applyFont="1" applyBorder="1" applyAlignment="1">
      <alignment horizontal="right"/>
    </xf>
    <xf numFmtId="176" fontId="12" fillId="0" borderId="8" xfId="0" applyNumberFormat="1" applyFont="1" applyBorder="1"/>
    <xf numFmtId="176" fontId="12" fillId="0" borderId="1" xfId="0" applyNumberFormat="1" applyFont="1" applyBorder="1"/>
    <xf numFmtId="0" fontId="14" fillId="0" borderId="3" xfId="0" applyFont="1" applyBorder="1" applyAlignment="1">
      <alignment horizontal="left"/>
    </xf>
    <xf numFmtId="182" fontId="14" fillId="0" borderId="46" xfId="0" applyNumberFormat="1" applyFont="1" applyBorder="1" applyAlignment="1">
      <alignment horizontal="right"/>
    </xf>
    <xf numFmtId="176" fontId="14" fillId="0" borderId="34" xfId="0" applyNumberFormat="1" applyFont="1" applyBorder="1"/>
    <xf numFmtId="176" fontId="14" fillId="0" borderId="2" xfId="0" applyNumberFormat="1" applyFont="1" applyBorder="1"/>
    <xf numFmtId="0" fontId="12" fillId="0" borderId="3" xfId="0" applyFont="1" applyBorder="1"/>
    <xf numFmtId="182" fontId="12" fillId="0" borderId="0" xfId="0" applyNumberFormat="1" applyFont="1" applyBorder="1"/>
    <xf numFmtId="182" fontId="12" fillId="0" borderId="42" xfId="0" applyNumberFormat="1" applyFont="1" applyBorder="1"/>
    <xf numFmtId="182" fontId="12" fillId="0" borderId="8" xfId="0" applyNumberFormat="1" applyFont="1" applyBorder="1"/>
    <xf numFmtId="182" fontId="12" fillId="0" borderId="3" xfId="0" applyNumberFormat="1" applyFont="1" applyBorder="1"/>
    <xf numFmtId="182" fontId="12" fillId="0" borderId="47" xfId="0" applyNumberFormat="1" applyFont="1" applyBorder="1"/>
    <xf numFmtId="182" fontId="12" fillId="0" borderId="42" xfId="0" applyNumberFormat="1" applyFont="1" applyFill="1" applyBorder="1"/>
    <xf numFmtId="176" fontId="12" fillId="0" borderId="8" xfId="0" applyNumberFormat="1" applyFont="1" applyFill="1" applyBorder="1"/>
    <xf numFmtId="176" fontId="12" fillId="0" borderId="1" xfId="0" applyNumberFormat="1" applyFont="1" applyFill="1" applyBorder="1"/>
    <xf numFmtId="182" fontId="12" fillId="0" borderId="0" xfId="0" applyNumberFormat="1" applyFont="1" applyFill="1" applyBorder="1"/>
    <xf numFmtId="182" fontId="12" fillId="0" borderId="47" xfId="0" applyNumberFormat="1" applyFont="1" applyFill="1" applyBorder="1"/>
    <xf numFmtId="182" fontId="14" fillId="0" borderId="48" xfId="0" applyNumberFormat="1" applyFont="1" applyBorder="1"/>
    <xf numFmtId="182" fontId="14" fillId="0" borderId="46" xfId="0" applyNumberFormat="1" applyFont="1" applyBorder="1"/>
    <xf numFmtId="182" fontId="14" fillId="0" borderId="49" xfId="0" applyNumberFormat="1" applyFont="1" applyBorder="1"/>
    <xf numFmtId="182" fontId="14" fillId="0" borderId="50" xfId="0" applyNumberFormat="1" applyFont="1" applyBorder="1"/>
    <xf numFmtId="182" fontId="14" fillId="0" borderId="51" xfId="0" applyNumberFormat="1" applyFont="1" applyBorder="1"/>
    <xf numFmtId="182" fontId="14" fillId="0" borderId="0" xfId="0" applyNumberFormat="1" applyFont="1" applyBorder="1"/>
    <xf numFmtId="182" fontId="14" fillId="0" borderId="42" xfId="0" applyNumberFormat="1" applyFont="1" applyBorder="1"/>
    <xf numFmtId="182" fontId="14" fillId="0" borderId="8" xfId="0" applyNumberFormat="1" applyFont="1" applyBorder="1"/>
    <xf numFmtId="182" fontId="14" fillId="0" borderId="3" xfId="0" applyNumberFormat="1" applyFont="1" applyBorder="1"/>
    <xf numFmtId="182" fontId="14" fillId="0" borderId="47" xfId="0" applyNumberFormat="1" applyFont="1" applyBorder="1"/>
    <xf numFmtId="176" fontId="14" fillId="0" borderId="8" xfId="0" applyNumberFormat="1" applyFont="1" applyBorder="1"/>
    <xf numFmtId="176" fontId="14" fillId="0" borderId="1" xfId="0" applyNumberFormat="1" applyFont="1" applyBorder="1"/>
    <xf numFmtId="0" fontId="14" fillId="0" borderId="52" xfId="0" applyFont="1" applyBorder="1"/>
    <xf numFmtId="0" fontId="12" fillId="0" borderId="53" xfId="0" applyNumberFormat="1" applyFont="1" applyBorder="1" applyAlignment="1">
      <alignment horizontal="center"/>
    </xf>
    <xf numFmtId="182" fontId="14" fillId="0" borderId="54" xfId="0" applyNumberFormat="1" applyFont="1" applyFill="1" applyBorder="1"/>
    <xf numFmtId="182" fontId="14" fillId="0" borderId="53" xfId="0" applyNumberFormat="1" applyFont="1" applyFill="1" applyBorder="1"/>
    <xf numFmtId="182" fontId="14" fillId="0" borderId="55" xfId="0" applyNumberFormat="1" applyFont="1" applyBorder="1"/>
    <xf numFmtId="182" fontId="14" fillId="0" borderId="52" xfId="0" applyNumberFormat="1" applyFont="1" applyBorder="1"/>
    <xf numFmtId="182" fontId="14" fillId="0" borderId="53" xfId="0" applyNumberFormat="1" applyFont="1" applyBorder="1"/>
    <xf numFmtId="182" fontId="14" fillId="0" borderId="54" xfId="0" applyNumberFormat="1" applyFont="1" applyBorder="1"/>
    <xf numFmtId="182" fontId="14" fillId="0" borderId="56" xfId="0" applyNumberFormat="1" applyFont="1" applyBorder="1"/>
    <xf numFmtId="176" fontId="14" fillId="0" borderId="57" xfId="0" applyNumberFormat="1" applyFont="1" applyBorder="1"/>
    <xf numFmtId="176" fontId="14" fillId="0" borderId="58" xfId="0" applyNumberFormat="1" applyFont="1" applyBorder="1"/>
    <xf numFmtId="0" fontId="18" fillId="0" borderId="0" xfId="0" applyFont="1" applyBorder="1"/>
    <xf numFmtId="0" fontId="12" fillId="0" borderId="0" xfId="0" applyFont="1" applyBorder="1" applyAlignment="1">
      <alignment horizontal="center"/>
    </xf>
    <xf numFmtId="0" fontId="14" fillId="0" borderId="0" xfId="0" applyFont="1" applyFill="1" applyBorder="1"/>
    <xf numFmtId="176" fontId="14" fillId="0" borderId="0" xfId="0" applyNumberFormat="1" applyFont="1" applyFill="1" applyBorder="1"/>
    <xf numFmtId="0" fontId="17" fillId="0" borderId="0" xfId="0" quotePrefix="1" applyFont="1" applyBorder="1"/>
    <xf numFmtId="0" fontId="14" fillId="0" borderId="0" xfId="0" applyFont="1" applyBorder="1"/>
    <xf numFmtId="176" fontId="14" fillId="0" borderId="0" xfId="0" applyNumberFormat="1" applyFont="1" applyBorder="1"/>
    <xf numFmtId="0" fontId="17" fillId="0" borderId="0" xfId="0" applyFont="1" applyBorder="1" applyAlignment="1">
      <alignment horizontal="left"/>
    </xf>
    <xf numFmtId="0" fontId="17" fillId="0" borderId="0" xfId="0" applyFont="1" applyBorder="1" applyAlignment="1">
      <alignment horizontal="center"/>
    </xf>
    <xf numFmtId="0" fontId="17" fillId="0" borderId="0" xfId="0" applyFont="1" applyBorder="1" applyAlignment="1">
      <alignment horizontal="right"/>
    </xf>
    <xf numFmtId="172" fontId="12" fillId="0" borderId="0" xfId="1" applyNumberFormat="1" applyFont="1"/>
    <xf numFmtId="0" fontId="12" fillId="0" borderId="0" xfId="0" applyFont="1" applyBorder="1"/>
    <xf numFmtId="0" fontId="12" fillId="0" borderId="0" xfId="0" applyFont="1" applyAlignment="1">
      <alignment horizontal="center"/>
    </xf>
    <xf numFmtId="0" fontId="14" fillId="0" borderId="9" xfId="0" applyFont="1" applyFill="1" applyBorder="1" applyAlignment="1">
      <alignment horizontal="left"/>
    </xf>
    <xf numFmtId="0" fontId="16" fillId="0" borderId="3" xfId="0" applyNumberFormat="1" applyFont="1" applyBorder="1"/>
    <xf numFmtId="0" fontId="12" fillId="0" borderId="3" xfId="0" applyNumberFormat="1" applyFont="1" applyBorder="1" applyAlignment="1">
      <alignment horizontal="left" indent="1"/>
    </xf>
    <xf numFmtId="182" fontId="12" fillId="0" borderId="3" xfId="0" applyNumberFormat="1" applyFont="1" applyFill="1" applyBorder="1"/>
    <xf numFmtId="172" fontId="12" fillId="0" borderId="0" xfId="1" applyNumberFormat="1" applyFont="1" applyAlignment="1">
      <alignment horizontal="center"/>
    </xf>
    <xf numFmtId="175" fontId="12" fillId="0" borderId="0" xfId="7" applyNumberFormat="1" applyFont="1" applyAlignment="1">
      <alignment horizontal="center"/>
    </xf>
    <xf numFmtId="0" fontId="12" fillId="0" borderId="3" xfId="0" applyNumberFormat="1" applyFont="1" applyFill="1" applyBorder="1" applyAlignment="1">
      <alignment horizontal="left" indent="1"/>
    </xf>
    <xf numFmtId="182" fontId="12" fillId="0" borderId="0" xfId="1" applyNumberFormat="1" applyFont="1" applyBorder="1"/>
    <xf numFmtId="182" fontId="12" fillId="0" borderId="42" xfId="1" applyNumberFormat="1" applyFont="1" applyFill="1" applyBorder="1"/>
    <xf numFmtId="182" fontId="12" fillId="0" borderId="8" xfId="1" applyNumberFormat="1" applyFont="1" applyBorder="1"/>
    <xf numFmtId="182" fontId="12" fillId="0" borderId="3" xfId="1" applyNumberFormat="1" applyFont="1" applyFill="1" applyBorder="1"/>
    <xf numFmtId="182" fontId="12" fillId="0" borderId="42" xfId="1" applyNumberFormat="1" applyFont="1" applyBorder="1"/>
    <xf numFmtId="182" fontId="12" fillId="0" borderId="47" xfId="1" applyNumberFormat="1" applyFont="1" applyBorder="1"/>
    <xf numFmtId="182" fontId="12" fillId="0" borderId="0" xfId="1" applyNumberFormat="1" applyFont="1" applyFill="1" applyBorder="1"/>
    <xf numFmtId="182" fontId="12" fillId="0" borderId="8" xfId="1" applyNumberFormat="1" applyFont="1" applyFill="1" applyBorder="1"/>
    <xf numFmtId="182" fontId="12" fillId="0" borderId="47" xfId="1" applyNumberFormat="1" applyFont="1" applyFill="1" applyBorder="1"/>
    <xf numFmtId="182" fontId="12" fillId="0" borderId="8" xfId="0" applyNumberFormat="1" applyFont="1" applyFill="1" applyBorder="1"/>
    <xf numFmtId="0" fontId="14" fillId="0" borderId="3" xfId="0" applyNumberFormat="1" applyFont="1" applyBorder="1"/>
    <xf numFmtId="182" fontId="14" fillId="0" borderId="48" xfId="0" applyNumberFormat="1" applyFont="1" applyFill="1" applyBorder="1"/>
    <xf numFmtId="182" fontId="14" fillId="0" borderId="46" xfId="0" applyNumberFormat="1" applyFont="1" applyFill="1" applyBorder="1"/>
    <xf numFmtId="182" fontId="14" fillId="0" borderId="49" xfId="0" applyNumberFormat="1" applyFont="1" applyFill="1" applyBorder="1"/>
    <xf numFmtId="182" fontId="14" fillId="0" borderId="50" xfId="0" applyNumberFormat="1" applyFont="1" applyFill="1" applyBorder="1"/>
    <xf numFmtId="182" fontId="14" fillId="0" borderId="51" xfId="0" applyNumberFormat="1" applyFont="1" applyFill="1" applyBorder="1"/>
    <xf numFmtId="172" fontId="12" fillId="0" borderId="0" xfId="0" applyNumberFormat="1" applyFont="1"/>
    <xf numFmtId="175" fontId="12" fillId="0" borderId="0" xfId="0" applyNumberFormat="1" applyFont="1"/>
    <xf numFmtId="0" fontId="12" fillId="0" borderId="3" xfId="0" applyNumberFormat="1" applyFont="1" applyBorder="1"/>
    <xf numFmtId="0" fontId="19" fillId="0" borderId="42" xfId="0" applyNumberFormat="1" applyFont="1" applyBorder="1" applyAlignment="1">
      <alignment horizontal="center"/>
    </xf>
    <xf numFmtId="182" fontId="14" fillId="0" borderId="59" xfId="0" applyNumberFormat="1" applyFont="1" applyBorder="1"/>
    <xf numFmtId="182" fontId="14" fillId="0" borderId="60" xfId="0" applyNumberFormat="1" applyFont="1" applyBorder="1"/>
    <xf numFmtId="182" fontId="14" fillId="0" borderId="61" xfId="0" applyNumberFormat="1" applyFont="1" applyBorder="1"/>
    <xf numFmtId="182" fontId="14" fillId="0" borderId="62" xfId="0" applyNumberFormat="1" applyFont="1" applyBorder="1"/>
    <xf numFmtId="182" fontId="14" fillId="0" borderId="63" xfId="0" applyNumberFormat="1" applyFont="1" applyBorder="1"/>
    <xf numFmtId="175" fontId="12" fillId="0" borderId="0" xfId="0" applyNumberFormat="1" applyFont="1" applyAlignment="1">
      <alignment horizontal="center"/>
    </xf>
    <xf numFmtId="0" fontId="14" fillId="0" borderId="52" xfId="0" applyNumberFormat="1" applyFont="1" applyBorder="1"/>
    <xf numFmtId="182" fontId="14" fillId="0" borderId="9" xfId="0" applyNumberFormat="1" applyFont="1" applyBorder="1"/>
    <xf numFmtId="182" fontId="14" fillId="0" borderId="36" xfId="0" applyNumberFormat="1" applyFont="1" applyBorder="1"/>
    <xf numFmtId="182" fontId="14" fillId="0" borderId="10" xfId="0" applyNumberFormat="1" applyFont="1" applyBorder="1"/>
    <xf numFmtId="182" fontId="14" fillId="0" borderId="4" xfId="0" applyNumberFormat="1" applyFont="1" applyBorder="1"/>
    <xf numFmtId="182" fontId="14" fillId="0" borderId="64" xfId="0" applyNumberFormat="1" applyFont="1" applyBorder="1"/>
    <xf numFmtId="0" fontId="17" fillId="0" borderId="0" xfId="0" applyFont="1" applyBorder="1"/>
    <xf numFmtId="0" fontId="17" fillId="0" borderId="3" xfId="0" applyFont="1" applyBorder="1" applyAlignment="1">
      <alignment horizontal="right"/>
    </xf>
    <xf numFmtId="172" fontId="17" fillId="0" borderId="0" xfId="1" applyNumberFormat="1" applyFont="1" applyBorder="1" applyAlignment="1">
      <alignment horizontal="right"/>
    </xf>
    <xf numFmtId="0" fontId="12" fillId="0" borderId="36" xfId="0" applyFont="1" applyFill="1" applyBorder="1" applyAlignment="1">
      <alignment horizontal="center" vertical="center"/>
    </xf>
    <xf numFmtId="0" fontId="12" fillId="0" borderId="43" xfId="0" applyFont="1" applyBorder="1" applyAlignment="1">
      <alignment horizontal="center"/>
    </xf>
    <xf numFmtId="176" fontId="14" fillId="0" borderId="7" xfId="0" applyNumberFormat="1" applyFont="1" applyBorder="1" applyAlignment="1">
      <alignment horizontal="center"/>
    </xf>
    <xf numFmtId="0" fontId="12" fillId="0" borderId="42" xfId="0" applyFont="1" applyBorder="1" applyAlignment="1">
      <alignment horizontal="center"/>
    </xf>
    <xf numFmtId="0" fontId="12" fillId="0" borderId="42" xfId="0" applyFont="1" applyFill="1" applyBorder="1" applyAlignment="1">
      <alignment horizontal="center"/>
    </xf>
    <xf numFmtId="0" fontId="19" fillId="0" borderId="42" xfId="0" applyFont="1" applyBorder="1" applyAlignment="1">
      <alignment horizontal="center"/>
    </xf>
    <xf numFmtId="182" fontId="12" fillId="0" borderId="3" xfId="1" applyNumberFormat="1" applyFont="1" applyBorder="1"/>
    <xf numFmtId="0" fontId="14" fillId="0" borderId="3" xfId="0" applyNumberFormat="1" applyFont="1" applyBorder="1" applyAlignment="1">
      <alignment horizontal="left" wrapText="1"/>
    </xf>
    <xf numFmtId="182" fontId="14" fillId="0" borderId="46" xfId="0" applyNumberFormat="1" applyFont="1" applyBorder="1" applyAlignment="1">
      <alignment vertical="top"/>
    </xf>
    <xf numFmtId="0" fontId="14" fillId="0" borderId="4" xfId="0" applyFont="1" applyFill="1" applyBorder="1" applyAlignment="1">
      <alignment horizontal="center" vertical="center" wrapText="1"/>
    </xf>
    <xf numFmtId="182" fontId="14" fillId="0" borderId="49" xfId="0" applyNumberFormat="1" applyFont="1" applyBorder="1" applyAlignment="1">
      <alignment vertical="top"/>
    </xf>
    <xf numFmtId="182" fontId="14" fillId="0" borderId="50" xfId="0" applyNumberFormat="1" applyFont="1" applyBorder="1" applyAlignment="1">
      <alignment vertical="top"/>
    </xf>
    <xf numFmtId="182" fontId="14" fillId="0" borderId="51" xfId="0" applyNumberFormat="1" applyFont="1" applyBorder="1" applyAlignment="1">
      <alignment vertical="top"/>
    </xf>
    <xf numFmtId="0" fontId="14" fillId="0" borderId="3" xfId="0" applyNumberFormat="1" applyFont="1" applyBorder="1" applyAlignment="1">
      <alignment wrapText="1"/>
    </xf>
    <xf numFmtId="0" fontId="12" fillId="0" borderId="3" xfId="0" applyNumberFormat="1" applyFont="1" applyBorder="1" applyAlignment="1">
      <alignment horizontal="left" wrapText="1" indent="1"/>
    </xf>
    <xf numFmtId="0" fontId="14" fillId="0" borderId="56" xfId="0" applyNumberFormat="1" applyFont="1" applyBorder="1"/>
    <xf numFmtId="0" fontId="12" fillId="0" borderId="53" xfId="0" applyFont="1" applyBorder="1" applyAlignment="1">
      <alignment horizontal="center"/>
    </xf>
    <xf numFmtId="0" fontId="18" fillId="0" borderId="0" xfId="0" applyNumberFormat="1" applyFont="1" applyBorder="1"/>
    <xf numFmtId="0" fontId="17" fillId="0" borderId="0" xfId="0" applyNumberFormat="1" applyFont="1" applyBorder="1"/>
    <xf numFmtId="176" fontId="12" fillId="0" borderId="0" xfId="0" applyNumberFormat="1" applyFont="1" applyBorder="1"/>
    <xf numFmtId="176" fontId="12" fillId="0" borderId="0" xfId="0" applyNumberFormat="1" applyFont="1"/>
    <xf numFmtId="182" fontId="14" fillId="0" borderId="43" xfId="0" applyNumberFormat="1" applyFont="1" applyBorder="1" applyAlignment="1">
      <alignment horizontal="center"/>
    </xf>
    <xf numFmtId="182" fontId="14" fillId="0" borderId="6" xfId="0" applyNumberFormat="1" applyFont="1" applyBorder="1" applyAlignment="1">
      <alignment horizontal="center"/>
    </xf>
    <xf numFmtId="182" fontId="14" fillId="0" borderId="12" xfId="0" applyNumberFormat="1" applyFont="1" applyBorder="1" applyAlignment="1">
      <alignment horizontal="center"/>
    </xf>
    <xf numFmtId="182" fontId="14" fillId="0" borderId="7" xfId="0" applyNumberFormat="1" applyFont="1" applyBorder="1" applyAlignment="1">
      <alignment horizontal="center"/>
    </xf>
    <xf numFmtId="182" fontId="14" fillId="0" borderId="42" xfId="0" applyNumberFormat="1" applyFont="1" applyBorder="1" applyAlignment="1">
      <alignment horizontal="center"/>
    </xf>
    <xf numFmtId="182" fontId="14" fillId="0" borderId="0" xfId="0" applyNumberFormat="1" applyFont="1" applyBorder="1" applyAlignment="1">
      <alignment horizontal="center"/>
    </xf>
    <xf numFmtId="182" fontId="14" fillId="0" borderId="3" xfId="0" applyNumberFormat="1" applyFont="1" applyBorder="1" applyAlignment="1">
      <alignment horizontal="center"/>
    </xf>
    <xf numFmtId="182" fontId="14" fillId="0" borderId="8" xfId="0" applyNumberFormat="1" applyFont="1" applyBorder="1" applyAlignment="1">
      <alignment horizontal="center"/>
    </xf>
    <xf numFmtId="43" fontId="12" fillId="0" borderId="0" xfId="1" applyFont="1" applyFill="1" applyBorder="1" applyAlignment="1">
      <alignment horizontal="right"/>
    </xf>
    <xf numFmtId="0" fontId="12" fillId="0" borderId="0" xfId="0" applyFont="1" applyAlignment="1">
      <alignment horizontal="right"/>
    </xf>
    <xf numFmtId="43" fontId="12" fillId="0" borderId="0" xfId="0" applyNumberFormat="1" applyFont="1" applyAlignment="1">
      <alignment horizontal="right"/>
    </xf>
    <xf numFmtId="182" fontId="12" fillId="0" borderId="3" xfId="1" applyNumberFormat="1" applyFont="1" applyBorder="1" applyAlignment="1">
      <alignment horizontal="right"/>
    </xf>
    <xf numFmtId="182" fontId="12" fillId="0" borderId="8" xfId="1" applyNumberFormat="1" applyFont="1" applyBorder="1" applyAlignment="1">
      <alignment horizontal="right"/>
    </xf>
    <xf numFmtId="182" fontId="12" fillId="0" borderId="42" xfId="0" applyNumberFormat="1" applyFont="1" applyBorder="1" applyAlignment="1">
      <alignment horizontal="center"/>
    </xf>
    <xf numFmtId="0" fontId="12" fillId="0" borderId="3" xfId="0" applyFont="1" applyFill="1" applyBorder="1" applyAlignment="1">
      <alignment horizontal="left" indent="1"/>
    </xf>
    <xf numFmtId="0" fontId="14" fillId="0" borderId="3" xfId="0" applyFont="1" applyBorder="1"/>
    <xf numFmtId="182" fontId="14" fillId="0" borderId="53" xfId="0" applyNumberFormat="1" applyFont="1" applyBorder="1" applyAlignment="1">
      <alignment horizontal="center"/>
    </xf>
    <xf numFmtId="182" fontId="14" fillId="0" borderId="55" xfId="0" applyNumberFormat="1" applyFont="1" applyBorder="1" applyAlignment="1">
      <alignment horizontal="right"/>
    </xf>
    <xf numFmtId="182" fontId="14" fillId="0" borderId="52" xfId="0" applyNumberFormat="1" applyFont="1" applyBorder="1" applyAlignment="1">
      <alignment horizontal="right"/>
    </xf>
    <xf numFmtId="182" fontId="14" fillId="0" borderId="53" xfId="0" applyNumberFormat="1" applyFont="1" applyBorder="1" applyAlignment="1">
      <alignment horizontal="right"/>
    </xf>
    <xf numFmtId="182" fontId="14" fillId="0" borderId="54" xfId="0" applyNumberFormat="1" applyFont="1" applyBorder="1" applyAlignment="1">
      <alignment horizontal="right"/>
    </xf>
    <xf numFmtId="0" fontId="14" fillId="0" borderId="52" xfId="0" applyFont="1" applyBorder="1" applyAlignment="1">
      <alignment horizontal="left"/>
    </xf>
    <xf numFmtId="0" fontId="14" fillId="0" borderId="3" xfId="0" applyFont="1" applyFill="1" applyBorder="1"/>
    <xf numFmtId="174" fontId="12" fillId="0" borderId="0" xfId="0" applyNumberFormat="1" applyFont="1"/>
    <xf numFmtId="0" fontId="12" fillId="0" borderId="0" xfId="0" applyFont="1" applyBorder="1" applyAlignment="1"/>
    <xf numFmtId="0" fontId="12" fillId="0" borderId="4" xfId="0" applyFont="1" applyBorder="1"/>
    <xf numFmtId="0" fontId="12" fillId="0" borderId="9" xfId="0" applyFont="1" applyBorder="1" applyAlignment="1">
      <alignment horizontal="center"/>
    </xf>
    <xf numFmtId="173" fontId="17" fillId="0" borderId="0" xfId="1" applyNumberFormat="1" applyFont="1" applyBorder="1" applyAlignment="1">
      <alignment horizontal="right"/>
    </xf>
    <xf numFmtId="173" fontId="12" fillId="0" borderId="0" xfId="1" applyNumberFormat="1" applyFont="1"/>
    <xf numFmtId="173" fontId="12" fillId="0" borderId="0" xfId="1" applyNumberFormat="1" applyFont="1" applyFill="1"/>
    <xf numFmtId="182" fontId="14" fillId="0" borderId="45" xfId="0" applyNumberFormat="1" applyFont="1" applyBorder="1" applyAlignment="1">
      <alignment horizontal="center"/>
    </xf>
    <xf numFmtId="0" fontId="14" fillId="0" borderId="62" xfId="0" applyFont="1" applyBorder="1"/>
    <xf numFmtId="0" fontId="12" fillId="0" borderId="60" xfId="0" applyFont="1" applyBorder="1" applyAlignment="1">
      <alignment horizontal="center"/>
    </xf>
    <xf numFmtId="43" fontId="12" fillId="0" borderId="0" xfId="1" applyFont="1" applyBorder="1"/>
    <xf numFmtId="182" fontId="14" fillId="0" borderId="8" xfId="0" applyNumberFormat="1" applyFont="1" applyFill="1" applyBorder="1"/>
    <xf numFmtId="0" fontId="14" fillId="0" borderId="4" xfId="0" applyFont="1" applyBorder="1"/>
    <xf numFmtId="0" fontId="12" fillId="0" borderId="36" xfId="0" applyFont="1" applyBorder="1" applyAlignment="1">
      <alignment horizontal="center"/>
    </xf>
    <xf numFmtId="182" fontId="14" fillId="0" borderId="36" xfId="0" applyNumberFormat="1" applyFont="1" applyFill="1" applyBorder="1"/>
    <xf numFmtId="182" fontId="14" fillId="0" borderId="64" xfId="0" applyNumberFormat="1" applyFont="1" applyFill="1" applyBorder="1"/>
    <xf numFmtId="0" fontId="12" fillId="0" borderId="42" xfId="0" applyNumberFormat="1" applyFont="1" applyFill="1" applyBorder="1" applyAlignment="1">
      <alignment horizontal="center"/>
    </xf>
    <xf numFmtId="182" fontId="12" fillId="0" borderId="45" xfId="0" applyNumberFormat="1" applyFont="1" applyFill="1" applyBorder="1"/>
    <xf numFmtId="182" fontId="14" fillId="0" borderId="55" xfId="0" applyNumberFormat="1" applyFont="1" applyFill="1" applyBorder="1"/>
    <xf numFmtId="182" fontId="14" fillId="0" borderId="52" xfId="0" applyNumberFormat="1" applyFont="1" applyFill="1" applyBorder="1"/>
    <xf numFmtId="182" fontId="14" fillId="0" borderId="56" xfId="0" applyNumberFormat="1" applyFont="1" applyFill="1" applyBorder="1"/>
    <xf numFmtId="0" fontId="12" fillId="0" borderId="0" xfId="0" applyFont="1" applyAlignment="1">
      <alignment horizontal="center" vertical="center" wrapText="1"/>
    </xf>
    <xf numFmtId="0" fontId="18" fillId="0" borderId="0" xfId="0" applyFont="1"/>
    <xf numFmtId="0" fontId="17" fillId="0" borderId="0" xfId="0" quotePrefix="1" applyFont="1" applyFill="1" applyBorder="1"/>
    <xf numFmtId="0" fontId="20" fillId="0" borderId="0" xfId="0" applyFont="1"/>
    <xf numFmtId="0" fontId="19" fillId="0" borderId="0" xfId="0" applyFont="1" applyFill="1" applyBorder="1"/>
    <xf numFmtId="0" fontId="12" fillId="0" borderId="0" xfId="0" applyFont="1" applyFill="1" applyBorder="1"/>
    <xf numFmtId="182" fontId="12" fillId="0" borderId="65" xfId="0" applyNumberFormat="1" applyFont="1" applyFill="1" applyBorder="1"/>
    <xf numFmtId="182" fontId="12" fillId="0" borderId="0" xfId="0" applyNumberFormat="1" applyFont="1"/>
    <xf numFmtId="176" fontId="12" fillId="0" borderId="0" xfId="0" applyNumberFormat="1" applyFont="1" applyFill="1" applyBorder="1"/>
    <xf numFmtId="0" fontId="12" fillId="0" borderId="3" xfId="0" applyNumberFormat="1" applyFont="1" applyFill="1" applyBorder="1" applyAlignment="1">
      <alignment horizontal="left" indent="2"/>
    </xf>
    <xf numFmtId="182" fontId="12" fillId="0" borderId="46" xfId="0" applyNumberFormat="1" applyFont="1" applyFill="1" applyBorder="1"/>
    <xf numFmtId="182" fontId="12" fillId="0" borderId="49" xfId="0" applyNumberFormat="1" applyFont="1" applyFill="1" applyBorder="1"/>
    <xf numFmtId="182" fontId="12" fillId="0" borderId="50" xfId="0" applyNumberFormat="1" applyFont="1" applyFill="1" applyBorder="1"/>
    <xf numFmtId="0" fontId="12" fillId="0" borderId="3" xfId="0" applyNumberFormat="1" applyFont="1" applyBorder="1" applyAlignment="1">
      <alignment horizontal="left" indent="2"/>
    </xf>
    <xf numFmtId="0" fontId="19" fillId="0" borderId="42" xfId="0" applyNumberFormat="1" applyFont="1" applyFill="1" applyBorder="1" applyAlignment="1">
      <alignment horizontal="center"/>
    </xf>
    <xf numFmtId="0" fontId="12" fillId="0" borderId="0" xfId="0" applyFont="1" applyFill="1"/>
    <xf numFmtId="0" fontId="17" fillId="0" borderId="3" xfId="0" applyNumberFormat="1" applyFont="1" applyFill="1" applyBorder="1" applyAlignment="1">
      <alignment horizontal="left" indent="1"/>
    </xf>
    <xf numFmtId="0" fontId="14" fillId="0" borderId="3" xfId="0" applyNumberFormat="1" applyFont="1" applyFill="1" applyBorder="1" applyAlignment="1">
      <alignment horizontal="left"/>
    </xf>
    <xf numFmtId="0" fontId="14" fillId="0" borderId="3" xfId="0" applyNumberFormat="1" applyFont="1" applyBorder="1" applyAlignment="1">
      <alignment horizontal="left" indent="1"/>
    </xf>
    <xf numFmtId="0" fontId="15" fillId="0" borderId="3" xfId="0" applyNumberFormat="1" applyFont="1" applyBorder="1"/>
    <xf numFmtId="0" fontId="17" fillId="0" borderId="42" xfId="0" applyNumberFormat="1" applyFont="1" applyBorder="1" applyAlignment="1">
      <alignment horizontal="center"/>
    </xf>
    <xf numFmtId="175" fontId="17" fillId="0" borderId="42" xfId="7" applyNumberFormat="1" applyFont="1" applyFill="1" applyBorder="1" applyAlignment="1">
      <alignment horizontal="center"/>
    </xf>
    <xf numFmtId="175" fontId="17" fillId="0" borderId="8" xfId="7" applyNumberFormat="1" applyFont="1" applyFill="1" applyBorder="1" applyAlignment="1">
      <alignment horizontal="center"/>
    </xf>
    <xf numFmtId="175" fontId="17" fillId="0" borderId="3" xfId="7" applyNumberFormat="1" applyFont="1" applyFill="1" applyBorder="1" applyAlignment="1">
      <alignment horizontal="center"/>
    </xf>
    <xf numFmtId="175" fontId="17" fillId="0" borderId="0" xfId="7" applyNumberFormat="1" applyFont="1" applyFill="1" applyBorder="1" applyAlignment="1">
      <alignment horizontal="center"/>
    </xf>
    <xf numFmtId="175" fontId="17" fillId="0" borderId="47" xfId="7" applyNumberFormat="1" applyFont="1" applyFill="1" applyBorder="1" applyAlignment="1">
      <alignment horizontal="center"/>
    </xf>
    <xf numFmtId="0" fontId="12" fillId="0" borderId="4" xfId="0" applyNumberFormat="1" applyFont="1" applyBorder="1"/>
    <xf numFmtId="0" fontId="12" fillId="0" borderId="36" xfId="0" applyNumberFormat="1" applyFont="1" applyBorder="1" applyAlignment="1">
      <alignment horizontal="center"/>
    </xf>
    <xf numFmtId="176" fontId="14" fillId="0" borderId="36" xfId="0" applyNumberFormat="1" applyFont="1" applyBorder="1"/>
    <xf numFmtId="176" fontId="14" fillId="0" borderId="10" xfId="0" applyNumberFormat="1" applyFont="1" applyBorder="1"/>
    <xf numFmtId="176" fontId="14" fillId="0" borderId="4" xfId="0" applyNumberFormat="1" applyFont="1" applyBorder="1"/>
    <xf numFmtId="176" fontId="14" fillId="0" borderId="9" xfId="0" applyNumberFormat="1" applyFont="1" applyBorder="1"/>
    <xf numFmtId="176" fontId="14" fillId="0" borderId="64" xfId="0" applyNumberFormat="1" applyFont="1" applyBorder="1"/>
    <xf numFmtId="0" fontId="17" fillId="0" borderId="0" xfId="0" applyFont="1" applyFill="1" applyBorder="1" applyAlignment="1">
      <alignment horizontal="right"/>
    </xf>
    <xf numFmtId="0" fontId="14" fillId="0" borderId="9" xfId="0" applyFont="1" applyFill="1" applyBorder="1" applyAlignment="1">
      <alignment horizontal="center" vertical="center" wrapText="1"/>
    </xf>
    <xf numFmtId="0" fontId="14" fillId="0" borderId="36" xfId="0" applyFont="1" applyFill="1" applyBorder="1" applyAlignment="1">
      <alignment horizontal="center" vertical="center" wrapText="1"/>
    </xf>
    <xf numFmtId="0" fontId="14" fillId="0" borderId="10" xfId="0" applyFont="1" applyFill="1" applyBorder="1" applyAlignment="1">
      <alignment horizontal="center" vertical="center" wrapText="1"/>
    </xf>
    <xf numFmtId="183" fontId="12" fillId="0" borderId="42" xfId="1" applyNumberFormat="1" applyFont="1" applyFill="1" applyBorder="1"/>
    <xf numFmtId="183" fontId="12" fillId="0" borderId="0" xfId="1" applyNumberFormat="1" applyFont="1" applyFill="1" applyBorder="1"/>
    <xf numFmtId="182" fontId="14" fillId="0" borderId="42" xfId="0" applyNumberFormat="1" applyFont="1" applyFill="1" applyBorder="1"/>
    <xf numFmtId="182" fontId="14" fillId="0" borderId="3" xfId="0" applyNumberFormat="1" applyFont="1" applyFill="1" applyBorder="1"/>
    <xf numFmtId="182" fontId="14" fillId="0" borderId="0" xfId="0" applyNumberFormat="1" applyFont="1" applyFill="1" applyBorder="1"/>
    <xf numFmtId="0" fontId="14" fillId="0" borderId="4" xfId="0" applyNumberFormat="1" applyFont="1" applyBorder="1"/>
    <xf numFmtId="0" fontId="12" fillId="0" borderId="36" xfId="0" applyNumberFormat="1" applyFont="1" applyFill="1" applyBorder="1" applyAlignment="1">
      <alignment horizontal="center"/>
    </xf>
    <xf numFmtId="176" fontId="12" fillId="0" borderId="43" xfId="0" applyNumberFormat="1" applyFont="1" applyBorder="1"/>
    <xf numFmtId="176" fontId="12" fillId="0" borderId="3" xfId="0" applyNumberFormat="1" applyFont="1" applyBorder="1"/>
    <xf numFmtId="176" fontId="12" fillId="0" borderId="45" xfId="0" applyNumberFormat="1" applyFont="1" applyBorder="1"/>
    <xf numFmtId="0" fontId="16" fillId="0" borderId="3" xfId="0" applyFont="1" applyFill="1" applyBorder="1"/>
    <xf numFmtId="176" fontId="12" fillId="0" borderId="42" xfId="0" applyNumberFormat="1" applyFont="1" applyBorder="1"/>
    <xf numFmtId="176" fontId="12" fillId="0" borderId="47" xfId="0" applyNumberFormat="1" applyFont="1" applyBorder="1"/>
    <xf numFmtId="0" fontId="12" fillId="0" borderId="3" xfId="0" applyFont="1" applyFill="1" applyBorder="1"/>
    <xf numFmtId="182" fontId="14" fillId="0" borderId="47" xfId="0" applyNumberFormat="1" applyFont="1" applyBorder="1" applyAlignment="1">
      <alignment horizontal="center"/>
    </xf>
    <xf numFmtId="0" fontId="14" fillId="0" borderId="50" xfId="0" applyFont="1" applyBorder="1"/>
    <xf numFmtId="0" fontId="12" fillId="0" borderId="46" xfId="0" applyFont="1" applyBorder="1" applyAlignment="1">
      <alignment horizontal="center"/>
    </xf>
    <xf numFmtId="182" fontId="12" fillId="0" borderId="46" xfId="0" applyNumberFormat="1" applyFont="1" applyBorder="1"/>
    <xf numFmtId="182" fontId="12" fillId="0" borderId="49" xfId="0" applyNumberFormat="1" applyFont="1" applyBorder="1"/>
    <xf numFmtId="182" fontId="12" fillId="0" borderId="50" xfId="0" applyNumberFormat="1" applyFont="1" applyBorder="1"/>
    <xf numFmtId="182" fontId="12" fillId="0" borderId="48" xfId="0" applyNumberFormat="1" applyFont="1" applyBorder="1"/>
    <xf numFmtId="182" fontId="12" fillId="0" borderId="51" xfId="0" applyNumberFormat="1" applyFont="1" applyBorder="1"/>
    <xf numFmtId="0" fontId="15" fillId="0" borderId="3" xfId="0" applyFont="1" applyBorder="1" applyAlignment="1">
      <alignment horizontal="right"/>
    </xf>
    <xf numFmtId="0" fontId="19" fillId="0" borderId="3" xfId="0" applyFont="1" applyBorder="1" applyAlignment="1">
      <alignment horizontal="left" indent="1"/>
    </xf>
    <xf numFmtId="0" fontId="17" fillId="0" borderId="3" xfId="0" applyFont="1" applyBorder="1" applyAlignment="1">
      <alignment horizontal="left" indent="1"/>
    </xf>
    <xf numFmtId="0" fontId="14" fillId="0" borderId="3" xfId="0" applyFont="1" applyBorder="1" applyAlignment="1">
      <alignment horizontal="left" indent="1"/>
    </xf>
    <xf numFmtId="0" fontId="12" fillId="0" borderId="3" xfId="0" applyFont="1" applyBorder="1" applyAlignment="1">
      <alignment horizontal="left" indent="2"/>
    </xf>
    <xf numFmtId="0" fontId="14" fillId="0" borderId="43" xfId="0" applyFont="1" applyFill="1" applyBorder="1" applyAlignment="1">
      <alignment vertical="center"/>
    </xf>
    <xf numFmtId="182" fontId="14" fillId="0" borderId="11" xfId="0" applyNumberFormat="1" applyFont="1" applyBorder="1" applyAlignment="1">
      <alignment horizontal="center"/>
    </xf>
    <xf numFmtId="182" fontId="14" fillId="0" borderId="1" xfId="0" applyNumberFormat="1" applyFont="1" applyBorder="1"/>
    <xf numFmtId="182" fontId="14" fillId="0" borderId="44" xfId="0" applyNumberFormat="1" applyFont="1" applyBorder="1"/>
    <xf numFmtId="0" fontId="12" fillId="0" borderId="3" xfId="0" applyFont="1" applyBorder="1" applyAlignment="1">
      <alignment horizontal="left" wrapText="1" indent="1"/>
    </xf>
    <xf numFmtId="0" fontId="14" fillId="0" borderId="52" xfId="0" applyFont="1" applyBorder="1" applyAlignment="1">
      <alignment vertical="top" wrapText="1"/>
    </xf>
    <xf numFmtId="17" fontId="15" fillId="0" borderId="0" xfId="0" quotePrefix="1" applyNumberFormat="1" applyFont="1" applyAlignment="1">
      <alignment horizontal="center"/>
    </xf>
    <xf numFmtId="182" fontId="12" fillId="0" borderId="43" xfId="0" applyNumberFormat="1" applyFont="1" applyBorder="1"/>
    <xf numFmtId="182" fontId="12" fillId="0" borderId="45" xfId="0" applyNumberFormat="1" applyFont="1" applyBorder="1"/>
    <xf numFmtId="0" fontId="14" fillId="0" borderId="50" xfId="0" applyFont="1" applyFill="1" applyBorder="1"/>
    <xf numFmtId="0" fontId="14" fillId="0" borderId="52" xfId="0" applyFont="1" applyFill="1" applyBorder="1"/>
    <xf numFmtId="0" fontId="12" fillId="0" borderId="0" xfId="0" applyFont="1" applyFill="1" applyBorder="1" applyAlignment="1">
      <alignment horizontal="center"/>
    </xf>
    <xf numFmtId="0" fontId="12" fillId="0" borderId="12" xfId="0" applyFont="1" applyBorder="1"/>
    <xf numFmtId="0" fontId="12" fillId="0" borderId="6" xfId="0" applyFont="1" applyBorder="1" applyAlignment="1">
      <alignment horizontal="center"/>
    </xf>
    <xf numFmtId="182" fontId="12" fillId="0" borderId="36" xfId="0" applyNumberFormat="1" applyFont="1" applyBorder="1"/>
    <xf numFmtId="182" fontId="12" fillId="0" borderId="10" xfId="0" applyNumberFormat="1" applyFont="1" applyBorder="1"/>
    <xf numFmtId="182" fontId="12" fillId="0" borderId="4" xfId="0" applyNumberFormat="1" applyFont="1" applyBorder="1"/>
    <xf numFmtId="182" fontId="12" fillId="0" borderId="9" xfId="0" applyNumberFormat="1" applyFont="1" applyBorder="1"/>
    <xf numFmtId="0" fontId="17" fillId="0" borderId="0" xfId="0" applyFont="1" applyAlignment="1">
      <alignment horizontal="right"/>
    </xf>
    <xf numFmtId="43" fontId="12" fillId="0" borderId="0" xfId="1" applyFont="1" applyFill="1" applyBorder="1"/>
    <xf numFmtId="0" fontId="12" fillId="0" borderId="43" xfId="0" applyFont="1" applyBorder="1" applyAlignment="1">
      <alignment horizontal="center" vertical="top" wrapText="1"/>
    </xf>
    <xf numFmtId="175" fontId="12" fillId="0" borderId="0" xfId="7" applyNumberFormat="1" applyFont="1"/>
    <xf numFmtId="0" fontId="12" fillId="0" borderId="42" xfId="0" applyFont="1" applyBorder="1" applyAlignment="1">
      <alignment horizontal="center" vertical="top" wrapText="1"/>
    </xf>
    <xf numFmtId="0" fontId="14" fillId="0" borderId="36" xfId="0" applyFont="1" applyBorder="1"/>
    <xf numFmtId="0" fontId="12" fillId="0" borderId="1" xfId="0" applyFont="1" applyBorder="1" applyAlignment="1">
      <alignment horizontal="center" vertical="top" wrapText="1"/>
    </xf>
    <xf numFmtId="172" fontId="12" fillId="0" borderId="0" xfId="1" applyNumberFormat="1" applyFont="1" applyBorder="1" applyAlignment="1">
      <alignment horizontal="left"/>
    </xf>
    <xf numFmtId="176" fontId="12" fillId="0" borderId="0" xfId="1" applyNumberFormat="1" applyFont="1" applyBorder="1"/>
    <xf numFmtId="175" fontId="12" fillId="0" borderId="0" xfId="7" applyNumberFormat="1" applyFont="1" applyBorder="1"/>
    <xf numFmtId="172" fontId="12" fillId="0" borderId="0" xfId="1" applyNumberFormat="1" applyFont="1" applyBorder="1"/>
    <xf numFmtId="182" fontId="17" fillId="0" borderId="0" xfId="1" applyNumberFormat="1" applyFont="1" applyBorder="1" applyAlignment="1">
      <alignment horizontal="right"/>
    </xf>
    <xf numFmtId="176" fontId="17" fillId="0" borderId="0" xfId="0" applyNumberFormat="1" applyFont="1" applyBorder="1" applyAlignment="1">
      <alignment horizontal="right"/>
    </xf>
    <xf numFmtId="0" fontId="12" fillId="0" borderId="8" xfId="0" applyFont="1" applyBorder="1" applyAlignment="1">
      <alignment horizontal="center" vertical="top" wrapText="1"/>
    </xf>
    <xf numFmtId="0" fontId="12" fillId="0" borderId="3" xfId="0" applyFont="1" applyBorder="1" applyAlignment="1">
      <alignment horizontal="center" vertical="top" wrapText="1"/>
    </xf>
    <xf numFmtId="2" fontId="12" fillId="0" borderId="8" xfId="1" applyNumberFormat="1" applyFont="1" applyBorder="1" applyAlignment="1">
      <alignment horizontal="center" vertical="top" wrapText="1"/>
    </xf>
    <xf numFmtId="2" fontId="12" fillId="0" borderId="1" xfId="1" applyNumberFormat="1" applyFont="1" applyBorder="1" applyAlignment="1">
      <alignment horizontal="center" vertical="top" wrapText="1"/>
    </xf>
    <xf numFmtId="2" fontId="12" fillId="0" borderId="3" xfId="1" applyNumberFormat="1" applyFont="1" applyBorder="1" applyAlignment="1">
      <alignment horizontal="center" vertical="top" wrapText="1"/>
    </xf>
    <xf numFmtId="175" fontId="12" fillId="0" borderId="3" xfId="0" applyNumberFormat="1" applyFont="1" applyBorder="1" applyAlignment="1">
      <alignment horizontal="center" vertical="top" wrapText="1"/>
    </xf>
    <xf numFmtId="175" fontId="12" fillId="0" borderId="1" xfId="0" applyNumberFormat="1" applyFont="1" applyFill="1" applyBorder="1" applyAlignment="1">
      <alignment horizontal="center" vertical="top" wrapText="1"/>
    </xf>
    <xf numFmtId="183" fontId="12" fillId="0" borderId="42" xfId="0" applyNumberFormat="1" applyFont="1" applyBorder="1" applyAlignment="1">
      <alignment horizontal="center" vertical="top" wrapText="1"/>
    </xf>
    <xf numFmtId="183" fontId="12" fillId="0" borderId="8" xfId="0" applyNumberFormat="1" applyFont="1" applyBorder="1" applyAlignment="1">
      <alignment horizontal="center" vertical="top" wrapText="1"/>
    </xf>
    <xf numFmtId="183" fontId="12" fillId="0" borderId="3" xfId="0" applyNumberFormat="1" applyFont="1" applyBorder="1" applyAlignment="1">
      <alignment horizontal="center" vertical="top" wrapText="1"/>
    </xf>
    <xf numFmtId="183" fontId="12" fillId="0" borderId="0" xfId="0" applyNumberFormat="1" applyFont="1" applyBorder="1" applyAlignment="1">
      <alignment horizontal="center" vertical="top" wrapText="1"/>
    </xf>
    <xf numFmtId="0" fontId="17" fillId="0" borderId="0" xfId="0" applyFont="1"/>
    <xf numFmtId="173" fontId="17" fillId="0" borderId="0" xfId="1" applyNumberFormat="1" applyFont="1" applyBorder="1" applyAlignment="1">
      <alignment vertical="top" wrapText="1"/>
    </xf>
    <xf numFmtId="173" fontId="17" fillId="0" borderId="0" xfId="1" applyNumberFormat="1" applyFont="1" applyFill="1" applyBorder="1" applyAlignment="1">
      <alignment vertical="top" wrapText="1"/>
    </xf>
    <xf numFmtId="0" fontId="19" fillId="0" borderId="0" xfId="0" applyFont="1"/>
    <xf numFmtId="0" fontId="16" fillId="0" borderId="12" xfId="0" applyFont="1" applyBorder="1" applyAlignment="1">
      <alignment horizontal="left" wrapText="1"/>
    </xf>
    <xf numFmtId="0" fontId="12" fillId="0" borderId="66" xfId="0" applyFont="1" applyBorder="1" applyAlignment="1">
      <alignment horizontal="left" vertical="top" wrapText="1"/>
    </xf>
    <xf numFmtId="0" fontId="12" fillId="0" borderId="45" xfId="0" applyFont="1" applyBorder="1" applyAlignment="1">
      <alignment horizontal="center" vertical="top" wrapText="1"/>
    </xf>
    <xf numFmtId="0" fontId="12" fillId="0" borderId="7" xfId="0" applyFont="1" applyBorder="1" applyAlignment="1">
      <alignment horizontal="center" vertical="top" wrapText="1"/>
    </xf>
    <xf numFmtId="0" fontId="12" fillId="0" borderId="12" xfId="0" applyFont="1" applyBorder="1" applyAlignment="1">
      <alignment horizontal="center" vertical="top" wrapText="1"/>
    </xf>
    <xf numFmtId="0" fontId="12" fillId="0" borderId="6" xfId="0" applyFont="1" applyBorder="1" applyAlignment="1">
      <alignment horizontal="center" vertical="top" wrapText="1"/>
    </xf>
    <xf numFmtId="0" fontId="12" fillId="0" borderId="67" xfId="0" applyFont="1" applyBorder="1" applyAlignment="1">
      <alignment horizontal="left" vertical="top" wrapText="1"/>
    </xf>
    <xf numFmtId="175" fontId="12" fillId="0" borderId="47" xfId="7" applyNumberFormat="1" applyFont="1" applyFill="1" applyBorder="1" applyAlignment="1">
      <alignment horizontal="center" vertical="top" wrapText="1"/>
    </xf>
    <xf numFmtId="175" fontId="12" fillId="0" borderId="42" xfId="7" applyNumberFormat="1" applyFont="1" applyFill="1" applyBorder="1" applyAlignment="1">
      <alignment horizontal="center" vertical="top" wrapText="1"/>
    </xf>
    <xf numFmtId="175" fontId="12" fillId="0" borderId="8" xfId="7" applyNumberFormat="1" applyFont="1" applyFill="1" applyBorder="1" applyAlignment="1">
      <alignment horizontal="center" vertical="top" wrapText="1"/>
    </xf>
    <xf numFmtId="175" fontId="12" fillId="0" borderId="3" xfId="7" applyNumberFormat="1" applyFont="1" applyFill="1" applyBorder="1" applyAlignment="1">
      <alignment horizontal="center" vertical="top" wrapText="1"/>
    </xf>
    <xf numFmtId="175" fontId="12" fillId="0" borderId="0" xfId="7" applyNumberFormat="1" applyFont="1" applyFill="1" applyBorder="1" applyAlignment="1">
      <alignment horizontal="center" vertical="top" wrapText="1"/>
    </xf>
    <xf numFmtId="0" fontId="12" fillId="0" borderId="3" xfId="0" applyFont="1" applyBorder="1" applyAlignment="1">
      <alignment horizontal="left" vertical="top" wrapText="1" indent="1"/>
    </xf>
    <xf numFmtId="0" fontId="12" fillId="0" borderId="47" xfId="7" applyNumberFormat="1" applyFont="1" applyFill="1" applyBorder="1" applyAlignment="1">
      <alignment horizontal="center" vertical="top" wrapText="1"/>
    </xf>
    <xf numFmtId="0" fontId="12" fillId="0" borderId="42" xfId="7" applyNumberFormat="1" applyFont="1" applyFill="1" applyBorder="1" applyAlignment="1">
      <alignment horizontal="center" vertical="top" wrapText="1"/>
    </xf>
    <xf numFmtId="0" fontId="12" fillId="0" borderId="8" xfId="7" applyNumberFormat="1" applyFont="1" applyFill="1" applyBorder="1" applyAlignment="1">
      <alignment horizontal="center" vertical="top" wrapText="1"/>
    </xf>
    <xf numFmtId="0" fontId="16" fillId="0" borderId="3" xfId="0" applyFont="1" applyBorder="1" applyAlignment="1">
      <alignment horizontal="left" wrapText="1"/>
    </xf>
    <xf numFmtId="0" fontId="12" fillId="0" borderId="47" xfId="0" applyFont="1" applyFill="1" applyBorder="1" applyAlignment="1">
      <alignment horizontal="center" vertical="top" wrapText="1"/>
    </xf>
    <xf numFmtId="0" fontId="12" fillId="0" borderId="42" xfId="0" applyFont="1" applyFill="1" applyBorder="1" applyAlignment="1">
      <alignment horizontal="center" vertical="top" wrapText="1"/>
    </xf>
    <xf numFmtId="0" fontId="12" fillId="0" borderId="8" xfId="0" applyFont="1" applyFill="1" applyBorder="1" applyAlignment="1">
      <alignment horizontal="center" vertical="top" wrapText="1"/>
    </xf>
    <xf numFmtId="0" fontId="12" fillId="0" borderId="3" xfId="0" applyFont="1" applyFill="1" applyBorder="1" applyAlignment="1">
      <alignment horizontal="center" vertical="top" wrapText="1"/>
    </xf>
    <xf numFmtId="0" fontId="12" fillId="0" borderId="0" xfId="0" applyFont="1" applyFill="1" applyBorder="1" applyAlignment="1">
      <alignment horizontal="center" vertical="top" wrapText="1"/>
    </xf>
    <xf numFmtId="184" fontId="12" fillId="0" borderId="47" xfId="1" applyNumberFormat="1" applyFont="1" applyFill="1" applyBorder="1" applyAlignment="1">
      <alignment vertical="top" wrapText="1"/>
    </xf>
    <xf numFmtId="184" fontId="12" fillId="0" borderId="42" xfId="1" applyNumberFormat="1" applyFont="1" applyFill="1" applyBorder="1" applyAlignment="1">
      <alignment vertical="top" wrapText="1"/>
    </xf>
    <xf numFmtId="184" fontId="12" fillId="0" borderId="8" xfId="1" applyNumberFormat="1" applyFont="1" applyFill="1" applyBorder="1" applyAlignment="1">
      <alignment vertical="top" wrapText="1"/>
    </xf>
    <xf numFmtId="184" fontId="12" fillId="0" borderId="3" xfId="1" applyNumberFormat="1" applyFont="1" applyFill="1" applyBorder="1" applyAlignment="1">
      <alignment vertical="top" wrapText="1"/>
    </xf>
    <xf numFmtId="184" fontId="12" fillId="0" borderId="0" xfId="1" applyNumberFormat="1" applyFont="1" applyFill="1" applyBorder="1" applyAlignment="1">
      <alignment vertical="top" wrapText="1"/>
    </xf>
    <xf numFmtId="184" fontId="12" fillId="0" borderId="47" xfId="0" applyNumberFormat="1" applyFont="1" applyFill="1" applyBorder="1" applyAlignment="1">
      <alignment horizontal="center" vertical="top" wrapText="1"/>
    </xf>
    <xf numFmtId="184" fontId="12" fillId="0" borderId="42" xfId="0" applyNumberFormat="1" applyFont="1" applyFill="1" applyBorder="1" applyAlignment="1">
      <alignment horizontal="center" vertical="top" wrapText="1"/>
    </xf>
    <xf numFmtId="184" fontId="12" fillId="0" borderId="8" xfId="0" applyNumberFormat="1" applyFont="1" applyFill="1" applyBorder="1" applyAlignment="1">
      <alignment horizontal="center" vertical="top" wrapText="1"/>
    </xf>
    <xf numFmtId="184" fontId="12" fillId="0" borderId="3" xfId="0" applyNumberFormat="1" applyFont="1" applyFill="1" applyBorder="1" applyAlignment="1">
      <alignment horizontal="center" vertical="top" wrapText="1"/>
    </xf>
    <xf numFmtId="184" fontId="12" fillId="0" borderId="0" xfId="0" applyNumberFormat="1" applyFont="1" applyFill="1" applyBorder="1" applyAlignment="1">
      <alignment horizontal="center" vertical="top" wrapText="1"/>
    </xf>
    <xf numFmtId="175" fontId="12" fillId="0" borderId="47" xfId="0" applyNumberFormat="1" applyFont="1" applyFill="1" applyBorder="1" applyAlignment="1">
      <alignment horizontal="center" vertical="top" wrapText="1"/>
    </xf>
    <xf numFmtId="175" fontId="12" fillId="0" borderId="42" xfId="0" applyNumberFormat="1" applyFont="1" applyFill="1" applyBorder="1" applyAlignment="1">
      <alignment horizontal="center" vertical="top" wrapText="1"/>
    </xf>
    <xf numFmtId="175" fontId="12" fillId="0" borderId="8" xfId="0" applyNumberFormat="1" applyFont="1" applyFill="1" applyBorder="1" applyAlignment="1">
      <alignment horizontal="center" vertical="top" wrapText="1"/>
    </xf>
    <xf numFmtId="175" fontId="12" fillId="0" borderId="3" xfId="0" applyNumberFormat="1" applyFont="1" applyFill="1" applyBorder="1" applyAlignment="1">
      <alignment horizontal="center" vertical="top" wrapText="1"/>
    </xf>
    <xf numFmtId="175" fontId="12" fillId="0" borderId="0" xfId="0" applyNumberFormat="1" applyFont="1" applyFill="1" applyBorder="1" applyAlignment="1">
      <alignment horizontal="center" vertical="top" wrapText="1"/>
    </xf>
    <xf numFmtId="0" fontId="16" fillId="0" borderId="3" xfId="0" applyFont="1" applyBorder="1" applyAlignment="1">
      <alignment horizontal="left" vertical="top" wrapText="1"/>
    </xf>
    <xf numFmtId="0" fontId="16" fillId="0" borderId="67" xfId="0" applyFont="1" applyBorder="1" applyAlignment="1">
      <alignment horizontal="left" vertical="top" wrapText="1"/>
    </xf>
    <xf numFmtId="9" fontId="12" fillId="0" borderId="47" xfId="0" applyNumberFormat="1" applyFont="1" applyFill="1" applyBorder="1" applyAlignment="1">
      <alignment horizontal="center" vertical="top" wrapText="1"/>
    </xf>
    <xf numFmtId="9" fontId="12" fillId="0" borderId="42" xfId="0" applyNumberFormat="1" applyFont="1" applyFill="1" applyBorder="1" applyAlignment="1">
      <alignment horizontal="center" vertical="top" wrapText="1"/>
    </xf>
    <xf numFmtId="9" fontId="12" fillId="0" borderId="8" xfId="0" applyNumberFormat="1" applyFont="1" applyFill="1" applyBorder="1" applyAlignment="1">
      <alignment horizontal="center" vertical="top" wrapText="1"/>
    </xf>
    <xf numFmtId="9" fontId="12" fillId="0" borderId="3" xfId="0" applyNumberFormat="1" applyFont="1" applyFill="1" applyBorder="1" applyAlignment="1">
      <alignment horizontal="center" vertical="top" wrapText="1"/>
    </xf>
    <xf numFmtId="9" fontId="12" fillId="0" borderId="0" xfId="0" applyNumberFormat="1" applyFont="1" applyFill="1" applyBorder="1" applyAlignment="1">
      <alignment horizontal="center" vertical="top" wrapText="1"/>
    </xf>
    <xf numFmtId="0" fontId="12" fillId="0" borderId="68" xfId="0" applyFont="1" applyBorder="1" applyAlignment="1">
      <alignment horizontal="left" vertical="top" wrapText="1" indent="1"/>
    </xf>
    <xf numFmtId="0" fontId="12" fillId="0" borderId="69" xfId="0" applyFont="1" applyBorder="1" applyAlignment="1">
      <alignment horizontal="left" vertical="top" wrapText="1"/>
    </xf>
    <xf numFmtId="184" fontId="12" fillId="0" borderId="70" xfId="1" applyNumberFormat="1" applyFont="1" applyFill="1" applyBorder="1" applyAlignment="1">
      <alignment vertical="top" wrapText="1"/>
    </xf>
    <xf numFmtId="184" fontId="12" fillId="0" borderId="71" xfId="1" applyNumberFormat="1" applyFont="1" applyFill="1" applyBorder="1" applyAlignment="1">
      <alignment vertical="top" wrapText="1"/>
    </xf>
    <xf numFmtId="184" fontId="12" fillId="0" borderId="72" xfId="1" applyNumberFormat="1" applyFont="1" applyFill="1" applyBorder="1" applyAlignment="1">
      <alignment vertical="top" wrapText="1"/>
    </xf>
    <xf numFmtId="184" fontId="12" fillId="0" borderId="68" xfId="1" applyNumberFormat="1" applyFont="1" applyFill="1" applyBorder="1" applyAlignment="1">
      <alignment vertical="top" wrapText="1"/>
    </xf>
    <xf numFmtId="184" fontId="12" fillId="0" borderId="73" xfId="1" applyNumberFormat="1" applyFont="1" applyFill="1" applyBorder="1" applyAlignment="1">
      <alignment vertical="top" wrapText="1"/>
    </xf>
    <xf numFmtId="176" fontId="12" fillId="0" borderId="3" xfId="0" applyNumberFormat="1" applyFont="1" applyFill="1" applyBorder="1"/>
    <xf numFmtId="176" fontId="12" fillId="0" borderId="42" xfId="0" applyNumberFormat="1" applyFont="1" applyFill="1" applyBorder="1"/>
    <xf numFmtId="175" fontId="12" fillId="0" borderId="0" xfId="0" applyNumberFormat="1" applyFont="1" applyFill="1" applyAlignment="1">
      <alignment horizontal="center"/>
    </xf>
    <xf numFmtId="0" fontId="14" fillId="0" borderId="74" xfId="0" applyFont="1" applyFill="1" applyBorder="1" applyAlignment="1">
      <alignment horizontal="center" vertical="top" wrapText="1"/>
    </xf>
    <xf numFmtId="0" fontId="16" fillId="0" borderId="12" xfId="0" applyNumberFormat="1" applyFont="1" applyBorder="1" applyAlignment="1">
      <alignment horizontal="left" wrapText="1"/>
    </xf>
    <xf numFmtId="0" fontId="12" fillId="0" borderId="75" xfId="0" applyFont="1" applyBorder="1" applyAlignment="1">
      <alignment horizontal="left" vertical="top" wrapText="1"/>
    </xf>
    <xf numFmtId="0" fontId="12" fillId="0" borderId="66" xfId="0" applyFont="1" applyBorder="1" applyAlignment="1">
      <alignment horizontal="center" vertical="top" wrapText="1"/>
    </xf>
    <xf numFmtId="0" fontId="12" fillId="0" borderId="11" xfId="0" applyFont="1" applyBorder="1" applyAlignment="1">
      <alignment horizontal="center" vertical="top" wrapText="1"/>
    </xf>
    <xf numFmtId="0" fontId="12" fillId="0" borderId="3" xfId="0" applyNumberFormat="1" applyFont="1" applyBorder="1" applyAlignment="1">
      <alignment horizontal="left" vertical="top" wrapText="1" indent="1"/>
    </xf>
    <xf numFmtId="0" fontId="12" fillId="0" borderId="3" xfId="0" applyNumberFormat="1" applyFont="1" applyBorder="1" applyAlignment="1">
      <alignment horizontal="left" vertical="top" wrapText="1"/>
    </xf>
    <xf numFmtId="172" fontId="12" fillId="0" borderId="76" xfId="1" applyNumberFormat="1" applyFont="1" applyFill="1" applyBorder="1" applyAlignment="1">
      <alignment horizontal="left" vertical="top" wrapText="1"/>
    </xf>
    <xf numFmtId="0" fontId="16" fillId="0" borderId="3" xfId="0" applyNumberFormat="1" applyFont="1" applyBorder="1" applyAlignment="1">
      <alignment horizontal="left" wrapText="1"/>
    </xf>
    <xf numFmtId="0" fontId="12" fillId="0" borderId="67" xfId="0" applyFont="1" applyBorder="1" applyAlignment="1">
      <alignment horizontal="center" vertical="top" wrapText="1"/>
    </xf>
    <xf numFmtId="0" fontId="12" fillId="0" borderId="0" xfId="0" applyFont="1" applyBorder="1" applyAlignment="1">
      <alignment horizontal="center" vertical="top" wrapText="1"/>
    </xf>
    <xf numFmtId="183" fontId="12" fillId="0" borderId="76" xfId="1" applyNumberFormat="1" applyFont="1" applyFill="1" applyBorder="1" applyAlignment="1">
      <alignment horizontal="left" vertical="top" wrapText="1"/>
    </xf>
    <xf numFmtId="183" fontId="12" fillId="0" borderId="67" xfId="0" applyNumberFormat="1" applyFont="1" applyBorder="1" applyAlignment="1">
      <alignment horizontal="center" vertical="top" wrapText="1"/>
    </xf>
    <xf numFmtId="183" fontId="12" fillId="0" borderId="1" xfId="0" applyNumberFormat="1" applyFont="1" applyBorder="1" applyAlignment="1">
      <alignment horizontal="center" vertical="top" wrapText="1"/>
    </xf>
    <xf numFmtId="2" fontId="12" fillId="0" borderId="42" xfId="1" applyNumberFormat="1" applyFont="1" applyBorder="1" applyAlignment="1">
      <alignment horizontal="center" vertical="top" wrapText="1"/>
    </xf>
    <xf numFmtId="2" fontId="12" fillId="0" borderId="67" xfId="1" applyNumberFormat="1" applyFont="1" applyBorder="1" applyAlignment="1">
      <alignment horizontal="center" vertical="top" wrapText="1"/>
    </xf>
    <xf numFmtId="2" fontId="12" fillId="0" borderId="0" xfId="1" applyNumberFormat="1" applyFont="1" applyBorder="1" applyAlignment="1">
      <alignment horizontal="center" vertical="top" wrapText="1"/>
    </xf>
    <xf numFmtId="0" fontId="16" fillId="0" borderId="3" xfId="0" applyNumberFormat="1" applyFont="1" applyBorder="1" applyAlignment="1">
      <alignment horizontal="left" vertical="top" wrapText="1"/>
    </xf>
    <xf numFmtId="172" fontId="12" fillId="0" borderId="76" xfId="1" applyNumberFormat="1" applyFont="1" applyBorder="1" applyAlignment="1">
      <alignment horizontal="left" vertical="top" wrapText="1"/>
    </xf>
    <xf numFmtId="175" fontId="12" fillId="0" borderId="67" xfId="0" applyNumberFormat="1" applyFont="1" applyBorder="1" applyAlignment="1">
      <alignment horizontal="center" vertical="top" wrapText="1"/>
    </xf>
    <xf numFmtId="9" fontId="12" fillId="0" borderId="1" xfId="0" applyNumberFormat="1" applyFont="1" applyFill="1" applyBorder="1" applyAlignment="1">
      <alignment horizontal="center" vertical="top" wrapText="1"/>
    </xf>
    <xf numFmtId="172" fontId="12" fillId="3" borderId="76" xfId="1" applyNumberFormat="1" applyFont="1" applyFill="1" applyBorder="1" applyAlignment="1">
      <alignment horizontal="left" vertical="top" wrapText="1"/>
    </xf>
    <xf numFmtId="172" fontId="16" fillId="3" borderId="76" xfId="1" applyNumberFormat="1" applyFont="1" applyFill="1" applyBorder="1" applyAlignment="1">
      <alignment horizontal="left" vertical="top" wrapText="1"/>
    </xf>
    <xf numFmtId="175" fontId="12" fillId="0" borderId="42" xfId="0" applyNumberFormat="1" applyFont="1" applyBorder="1" applyAlignment="1">
      <alignment horizontal="center" vertical="top" wrapText="1"/>
    </xf>
    <xf numFmtId="0" fontId="12" fillId="0" borderId="4" xfId="0" applyFont="1" applyBorder="1" applyAlignment="1">
      <alignment horizontal="left" vertical="top" wrapText="1"/>
    </xf>
    <xf numFmtId="172" fontId="12" fillId="0" borderId="77" xfId="1" applyNumberFormat="1" applyFont="1" applyBorder="1" applyAlignment="1">
      <alignment horizontal="left" vertical="top" wrapText="1"/>
    </xf>
    <xf numFmtId="173" fontId="12" fillId="0" borderId="4" xfId="1" applyNumberFormat="1" applyFont="1" applyBorder="1" applyAlignment="1">
      <alignment vertical="top" wrapText="1"/>
    </xf>
    <xf numFmtId="173" fontId="12" fillId="0" borderId="36" xfId="1" applyNumberFormat="1" applyFont="1" applyBorder="1" applyAlignment="1">
      <alignment vertical="top" wrapText="1"/>
    </xf>
    <xf numFmtId="173" fontId="12" fillId="0" borderId="37" xfId="1" applyNumberFormat="1" applyFont="1" applyBorder="1" applyAlignment="1">
      <alignment vertical="top" wrapText="1"/>
    </xf>
    <xf numFmtId="173" fontId="12" fillId="0" borderId="5" xfId="1" applyNumberFormat="1" applyFont="1" applyFill="1" applyBorder="1" applyAlignment="1">
      <alignment vertical="top" wrapText="1"/>
    </xf>
    <xf numFmtId="173" fontId="12" fillId="0" borderId="9" xfId="1" applyNumberFormat="1" applyFont="1" applyFill="1" applyBorder="1" applyAlignment="1">
      <alignment vertical="top" wrapText="1"/>
    </xf>
    <xf numFmtId="173" fontId="12" fillId="0" borderId="36" xfId="1" applyNumberFormat="1" applyFont="1" applyFill="1" applyBorder="1" applyAlignment="1">
      <alignment vertical="top" wrapText="1"/>
    </xf>
    <xf numFmtId="173" fontId="12" fillId="0" borderId="10" xfId="1" applyNumberFormat="1" applyFont="1" applyFill="1" applyBorder="1" applyAlignment="1">
      <alignment vertical="top" wrapText="1"/>
    </xf>
    <xf numFmtId="0" fontId="16" fillId="0" borderId="66" xfId="0" applyFont="1" applyBorder="1" applyAlignment="1">
      <alignment horizontal="center"/>
    </xf>
    <xf numFmtId="0" fontId="16" fillId="0" borderId="42" xfId="0" applyFont="1" applyBorder="1" applyAlignment="1">
      <alignment horizontal="center"/>
    </xf>
    <xf numFmtId="0" fontId="12" fillId="0" borderId="66" xfId="0" applyFont="1" applyBorder="1"/>
    <xf numFmtId="0" fontId="12" fillId="0" borderId="75" xfId="0" applyFont="1" applyBorder="1"/>
    <xf numFmtId="0" fontId="12" fillId="0" borderId="45" xfId="0" applyFont="1" applyBorder="1"/>
    <xf numFmtId="0" fontId="12" fillId="0" borderId="67" xfId="0" applyFont="1" applyBorder="1" applyAlignment="1">
      <alignment horizontal="center"/>
    </xf>
    <xf numFmtId="182" fontId="12" fillId="0" borderId="67" xfId="0" applyNumberFormat="1" applyFont="1" applyFill="1" applyBorder="1"/>
    <xf numFmtId="182" fontId="12" fillId="0" borderId="76" xfId="0" applyNumberFormat="1" applyFont="1" applyFill="1" applyBorder="1"/>
    <xf numFmtId="184" fontId="12" fillId="0" borderId="0" xfId="1" applyNumberFormat="1" applyFont="1" applyFill="1" applyBorder="1" applyAlignment="1"/>
    <xf numFmtId="184" fontId="12" fillId="0" borderId="67" xfId="1" applyNumberFormat="1" applyFont="1" applyFill="1" applyBorder="1" applyAlignment="1"/>
    <xf numFmtId="184" fontId="12" fillId="0" borderId="76" xfId="1" applyNumberFormat="1" applyFont="1" applyFill="1" applyBorder="1" applyAlignment="1"/>
    <xf numFmtId="184" fontId="12" fillId="0" borderId="3" xfId="1" applyNumberFormat="1" applyFont="1" applyFill="1" applyBorder="1" applyAlignment="1"/>
    <xf numFmtId="184" fontId="12" fillId="0" borderId="47" xfId="1" applyNumberFormat="1" applyFont="1" applyFill="1" applyBorder="1" applyAlignment="1"/>
    <xf numFmtId="0" fontId="12" fillId="0" borderId="67" xfId="0" applyFont="1" applyFill="1" applyBorder="1" applyAlignment="1">
      <alignment horizontal="center"/>
    </xf>
    <xf numFmtId="178" fontId="12" fillId="0" borderId="67" xfId="0" applyNumberFormat="1" applyFont="1" applyFill="1" applyBorder="1" applyAlignment="1">
      <alignment horizontal="center"/>
    </xf>
    <xf numFmtId="178" fontId="12" fillId="0" borderId="76" xfId="7" applyNumberFormat="1" applyFont="1" applyFill="1" applyBorder="1" applyAlignment="1">
      <alignment horizontal="center"/>
    </xf>
    <xf numFmtId="178" fontId="12" fillId="0" borderId="3" xfId="7" applyNumberFormat="1" applyFont="1" applyFill="1" applyBorder="1" applyAlignment="1">
      <alignment horizontal="center"/>
    </xf>
    <xf numFmtId="178" fontId="12" fillId="0" borderId="67" xfId="7" applyNumberFormat="1" applyFont="1" applyFill="1" applyBorder="1" applyAlignment="1">
      <alignment horizontal="center"/>
    </xf>
    <xf numFmtId="178" fontId="12" fillId="0" borderId="0" xfId="7" applyNumberFormat="1" applyFont="1" applyFill="1" applyBorder="1" applyAlignment="1">
      <alignment horizontal="center"/>
    </xf>
    <xf numFmtId="178" fontId="12" fillId="0" borderId="47" xfId="7" applyNumberFormat="1" applyFont="1" applyFill="1" applyBorder="1" applyAlignment="1">
      <alignment horizontal="center"/>
    </xf>
    <xf numFmtId="9" fontId="12" fillId="0" borderId="67" xfId="7" applyFont="1" applyBorder="1" applyAlignment="1">
      <alignment horizontal="center"/>
    </xf>
    <xf numFmtId="9" fontId="12" fillId="0" borderId="37" xfId="7" applyFont="1" applyBorder="1" applyAlignment="1">
      <alignment horizontal="center"/>
    </xf>
    <xf numFmtId="9" fontId="12" fillId="0" borderId="36" xfId="7" applyFont="1" applyBorder="1" applyAlignment="1">
      <alignment horizontal="center"/>
    </xf>
    <xf numFmtId="9" fontId="12" fillId="0" borderId="9" xfId="7" applyFont="1" applyBorder="1" applyAlignment="1">
      <alignment horizontal="center"/>
    </xf>
    <xf numFmtId="9" fontId="12" fillId="0" borderId="77" xfId="7" applyFont="1" applyBorder="1" applyAlignment="1">
      <alignment horizontal="center"/>
    </xf>
    <xf numFmtId="9" fontId="12" fillId="0" borderId="4" xfId="7" applyFont="1" applyBorder="1" applyAlignment="1">
      <alignment horizontal="center"/>
    </xf>
    <xf numFmtId="9" fontId="12" fillId="0" borderId="64" xfId="7" applyFont="1" applyBorder="1" applyAlignment="1">
      <alignment horizontal="center"/>
    </xf>
    <xf numFmtId="9" fontId="12" fillId="0" borderId="6" xfId="7" applyFont="1" applyBorder="1" applyAlignment="1">
      <alignment horizontal="center"/>
    </xf>
    <xf numFmtId="9" fontId="12" fillId="0" borderId="0" xfId="7" applyFont="1" applyBorder="1" applyAlignment="1">
      <alignment horizontal="center"/>
    </xf>
    <xf numFmtId="0" fontId="16" fillId="0" borderId="1" xfId="0" applyFont="1" applyBorder="1" applyAlignment="1">
      <alignment horizontal="left"/>
    </xf>
    <xf numFmtId="0" fontId="12" fillId="0" borderId="1" xfId="0" applyFont="1" applyBorder="1" applyAlignment="1"/>
    <xf numFmtId="0" fontId="12" fillId="0" borderId="8" xfId="0" applyFont="1" applyBorder="1" applyAlignment="1">
      <alignment horizontal="center"/>
    </xf>
    <xf numFmtId="178" fontId="12" fillId="0" borderId="1" xfId="7" applyNumberFormat="1" applyFont="1" applyFill="1" applyBorder="1" applyAlignment="1">
      <alignment horizontal="center"/>
    </xf>
    <xf numFmtId="178" fontId="12" fillId="0" borderId="8" xfId="7" applyNumberFormat="1" applyFont="1" applyFill="1" applyBorder="1" applyAlignment="1">
      <alignment horizontal="center"/>
    </xf>
    <xf numFmtId="182" fontId="12" fillId="0" borderId="1" xfId="0" applyNumberFormat="1" applyFont="1" applyBorder="1"/>
    <xf numFmtId="0" fontId="12" fillId="0" borderId="1" xfId="0" applyFont="1" applyBorder="1" applyAlignment="1">
      <alignment horizontal="left"/>
    </xf>
    <xf numFmtId="9" fontId="12" fillId="0" borderId="8" xfId="0" applyNumberFormat="1" applyFont="1" applyBorder="1" applyAlignment="1">
      <alignment horizontal="center"/>
    </xf>
    <xf numFmtId="0" fontId="12" fillId="0" borderId="32" xfId="0" applyFont="1" applyBorder="1" applyAlignment="1">
      <alignment horizontal="left"/>
    </xf>
    <xf numFmtId="0" fontId="12" fillId="0" borderId="78" xfId="0" applyFont="1" applyBorder="1" applyAlignment="1">
      <alignment horizontal="center"/>
    </xf>
    <xf numFmtId="0" fontId="16" fillId="0" borderId="0" xfId="0" applyFont="1"/>
    <xf numFmtId="182" fontId="12" fillId="0" borderId="0" xfId="0" applyNumberFormat="1" applyFont="1" applyAlignment="1">
      <alignment horizontal="center"/>
    </xf>
    <xf numFmtId="0" fontId="12" fillId="0" borderId="66" xfId="0" applyFont="1" applyBorder="1" applyAlignment="1">
      <alignment horizontal="center"/>
    </xf>
    <xf numFmtId="176" fontId="14" fillId="0" borderId="43" xfId="0" applyNumberFormat="1" applyFont="1" applyBorder="1"/>
    <xf numFmtId="176" fontId="14" fillId="0" borderId="3" xfId="0" applyNumberFormat="1" applyFont="1" applyBorder="1"/>
    <xf numFmtId="0" fontId="14" fillId="0" borderId="42" xfId="0" applyNumberFormat="1" applyFont="1" applyFill="1" applyBorder="1" applyAlignment="1">
      <alignment horizontal="center"/>
    </xf>
    <xf numFmtId="0" fontId="12" fillId="0" borderId="67" xfId="0" quotePrefix="1" applyFont="1" applyBorder="1" applyAlignment="1">
      <alignment horizontal="center"/>
    </xf>
    <xf numFmtId="0" fontId="12" fillId="0" borderId="67" xfId="0" quotePrefix="1" applyFont="1" applyFill="1" applyBorder="1" applyAlignment="1">
      <alignment horizontal="center"/>
    </xf>
    <xf numFmtId="172" fontId="12" fillId="0" borderId="42" xfId="1" applyNumberFormat="1" applyFont="1" applyFill="1" applyBorder="1"/>
    <xf numFmtId="172" fontId="12" fillId="0" borderId="8" xfId="1" applyNumberFormat="1" applyFont="1" applyFill="1" applyBorder="1"/>
    <xf numFmtId="172" fontId="12" fillId="0" borderId="3" xfId="1" applyNumberFormat="1" applyFont="1" applyFill="1" applyBorder="1"/>
    <xf numFmtId="172" fontId="12" fillId="0" borderId="76" xfId="1" applyNumberFormat="1" applyFont="1" applyFill="1" applyBorder="1"/>
    <xf numFmtId="172" fontId="12" fillId="0" borderId="0" xfId="1" applyNumberFormat="1" applyFont="1" applyFill="1" applyBorder="1"/>
    <xf numFmtId="181" fontId="14" fillId="0" borderId="46" xfId="1" applyNumberFormat="1" applyFont="1" applyFill="1" applyBorder="1"/>
    <xf numFmtId="181" fontId="14" fillId="0" borderId="49" xfId="1" applyNumberFormat="1" applyFont="1" applyFill="1" applyBorder="1"/>
    <xf numFmtId="181" fontId="14" fillId="0" borderId="50" xfId="1" applyNumberFormat="1" applyFont="1" applyFill="1" applyBorder="1"/>
    <xf numFmtId="181" fontId="14" fillId="0" borderId="79" xfId="1" applyNumberFormat="1" applyFont="1" applyFill="1" applyBorder="1"/>
    <xf numFmtId="181" fontId="14" fillId="0" borderId="48" xfId="1" applyNumberFormat="1" applyFont="1" applyFill="1" applyBorder="1"/>
    <xf numFmtId="181" fontId="14" fillId="0" borderId="46" xfId="0" applyNumberFormat="1" applyFont="1" applyFill="1" applyBorder="1"/>
    <xf numFmtId="181" fontId="14" fillId="0" borderId="49" xfId="0" applyNumberFormat="1" applyFont="1" applyFill="1" applyBorder="1"/>
    <xf numFmtId="181" fontId="12" fillId="0" borderId="0" xfId="0" applyNumberFormat="1" applyFont="1" applyFill="1" applyBorder="1"/>
    <xf numFmtId="181" fontId="14" fillId="0" borderId="42" xfId="0" applyNumberFormat="1" applyFont="1" applyFill="1" applyBorder="1"/>
    <xf numFmtId="181" fontId="14" fillId="0" borderId="8" xfId="0" applyNumberFormat="1" applyFont="1" applyFill="1" applyBorder="1"/>
    <xf numFmtId="0" fontId="16" fillId="0" borderId="50" xfId="0" applyFont="1" applyBorder="1"/>
    <xf numFmtId="0" fontId="12" fillId="0" borderId="80" xfId="0" applyFont="1" applyBorder="1" applyAlignment="1">
      <alignment horizontal="center"/>
    </xf>
    <xf numFmtId="176" fontId="12" fillId="0" borderId="46" xfId="0" applyNumberFormat="1" applyFont="1" applyFill="1" applyBorder="1"/>
    <xf numFmtId="176" fontId="12" fillId="0" borderId="49" xfId="0" applyNumberFormat="1" applyFont="1" applyFill="1" applyBorder="1"/>
    <xf numFmtId="176" fontId="12" fillId="0" borderId="50" xfId="0" applyNumberFormat="1" applyFont="1" applyFill="1" applyBorder="1"/>
    <xf numFmtId="176" fontId="12" fillId="0" borderId="79" xfId="0" applyNumberFormat="1" applyFont="1" applyFill="1" applyBorder="1"/>
    <xf numFmtId="176" fontId="12" fillId="0" borderId="48" xfId="0" applyNumberFormat="1" applyFont="1" applyFill="1" applyBorder="1"/>
    <xf numFmtId="0" fontId="12" fillId="0" borderId="0" xfId="1" applyNumberFormat="1" applyFont="1" applyFill="1" applyBorder="1" applyAlignment="1">
      <alignment horizontal="center"/>
    </xf>
    <xf numFmtId="178" fontId="12" fillId="0" borderId="42" xfId="0" applyNumberFormat="1" applyFont="1" applyFill="1" applyBorder="1" applyAlignment="1">
      <alignment horizontal="center"/>
    </xf>
    <xf numFmtId="178" fontId="12" fillId="0" borderId="42" xfId="7" applyNumberFormat="1" applyFont="1" applyFill="1" applyBorder="1" applyAlignment="1">
      <alignment horizontal="center"/>
    </xf>
    <xf numFmtId="182" fontId="14" fillId="0" borderId="76" xfId="0" applyNumberFormat="1" applyFont="1" applyFill="1" applyBorder="1"/>
    <xf numFmtId="0" fontId="12" fillId="0" borderId="37" xfId="0" applyFont="1" applyBorder="1" applyAlignment="1">
      <alignment horizontal="center"/>
    </xf>
    <xf numFmtId="176" fontId="12" fillId="0" borderId="36" xfId="0" applyNumberFormat="1" applyFont="1" applyBorder="1"/>
    <xf numFmtId="176" fontId="12" fillId="0" borderId="10" xfId="0" applyNumberFormat="1" applyFont="1" applyBorder="1"/>
    <xf numFmtId="176" fontId="12" fillId="0" borderId="4" xfId="0" applyNumberFormat="1" applyFont="1" applyBorder="1"/>
    <xf numFmtId="176" fontId="12" fillId="0" borderId="36" xfId="0" applyNumberFormat="1" applyFont="1" applyFill="1" applyBorder="1"/>
    <xf numFmtId="176" fontId="12" fillId="0" borderId="77" xfId="0" applyNumberFormat="1" applyFont="1" applyFill="1" applyBorder="1"/>
    <xf numFmtId="176" fontId="12" fillId="0" borderId="9" xfId="0" applyNumberFormat="1" applyFont="1" applyBorder="1"/>
    <xf numFmtId="0" fontId="14" fillId="0" borderId="43" xfId="0" applyFont="1" applyFill="1" applyBorder="1" applyAlignment="1">
      <alignment horizontal="center" vertical="center" wrapText="1"/>
    </xf>
    <xf numFmtId="0" fontId="9" fillId="0" borderId="9" xfId="0" applyNumberFormat="1" applyFont="1" applyFill="1" applyBorder="1" applyAlignment="1">
      <alignment horizontal="left"/>
    </xf>
    <xf numFmtId="0" fontId="14" fillId="0" borderId="17" xfId="0" applyFont="1" applyFill="1" applyBorder="1" applyAlignment="1">
      <alignment horizontal="center" vertical="center"/>
    </xf>
    <xf numFmtId="0" fontId="14" fillId="0" borderId="74" xfId="0" applyNumberFormat="1" applyFont="1" applyFill="1" applyBorder="1" applyAlignment="1">
      <alignment horizontal="center" vertical="center"/>
    </xf>
    <xf numFmtId="0" fontId="14" fillId="0" borderId="81" xfId="0" applyFont="1" applyFill="1" applyBorder="1" applyAlignment="1">
      <alignment horizontal="center" vertical="top" wrapText="1"/>
    </xf>
    <xf numFmtId="176" fontId="14" fillId="0" borderId="42" xfId="0" applyNumberFormat="1" applyFont="1" applyFill="1" applyBorder="1"/>
    <xf numFmtId="176" fontId="14" fillId="0" borderId="76" xfId="0" applyNumberFormat="1" applyFont="1" applyFill="1" applyBorder="1"/>
    <xf numFmtId="0" fontId="12" fillId="0" borderId="42" xfId="0" quotePrefix="1" applyNumberFormat="1" applyFont="1" applyBorder="1" applyAlignment="1">
      <alignment horizontal="center"/>
    </xf>
    <xf numFmtId="181" fontId="12" fillId="0" borderId="46" xfId="1" applyNumberFormat="1" applyFont="1" applyFill="1" applyBorder="1"/>
    <xf numFmtId="181" fontId="12" fillId="0" borderId="79" xfId="1" applyNumberFormat="1" applyFont="1" applyFill="1" applyBorder="1"/>
    <xf numFmtId="0" fontId="16" fillId="0" borderId="50" xfId="0" applyNumberFormat="1" applyFont="1" applyBorder="1"/>
    <xf numFmtId="0" fontId="14" fillId="0" borderId="46" xfId="0" applyNumberFormat="1" applyFont="1" applyBorder="1" applyAlignment="1">
      <alignment horizontal="center"/>
    </xf>
    <xf numFmtId="177" fontId="14" fillId="0" borderId="46" xfId="0" applyNumberFormat="1" applyFont="1" applyFill="1" applyBorder="1"/>
    <xf numFmtId="177" fontId="14" fillId="0" borderId="79" xfId="0" applyNumberFormat="1" applyFont="1" applyFill="1" applyBorder="1"/>
    <xf numFmtId="0" fontId="12" fillId="0" borderId="42" xfId="0" quotePrefix="1" applyNumberFormat="1" applyFont="1" applyFill="1" applyBorder="1" applyAlignment="1">
      <alignment horizontal="center"/>
    </xf>
    <xf numFmtId="182" fontId="12" fillId="0" borderId="34" xfId="0" applyNumberFormat="1" applyFont="1" applyBorder="1"/>
    <xf numFmtId="182" fontId="12" fillId="0" borderId="46" xfId="1" applyNumberFormat="1" applyFont="1" applyFill="1" applyBorder="1"/>
    <xf numFmtId="182" fontId="12" fillId="0" borderId="79" xfId="1" applyNumberFormat="1" applyFont="1" applyFill="1" applyBorder="1"/>
    <xf numFmtId="0" fontId="14" fillId="0" borderId="3" xfId="0" applyNumberFormat="1" applyFont="1" applyFill="1" applyBorder="1"/>
    <xf numFmtId="0" fontId="12" fillId="0" borderId="4" xfId="0" applyNumberFormat="1" applyFont="1" applyFill="1" applyBorder="1"/>
    <xf numFmtId="0" fontId="12" fillId="0" borderId="0" xfId="0" applyNumberFormat="1" applyFont="1" applyBorder="1" applyAlignment="1">
      <alignment horizontal="center"/>
    </xf>
    <xf numFmtId="0" fontId="12" fillId="0" borderId="0" xfId="0" applyNumberFormat="1" applyFont="1" applyBorder="1"/>
    <xf numFmtId="0" fontId="12" fillId="0" borderId="0" xfId="0" applyNumberFormat="1" applyFont="1" applyAlignment="1">
      <alignment horizontal="center"/>
    </xf>
    <xf numFmtId="0" fontId="14" fillId="0" borderId="12" xfId="0" applyFont="1" applyFill="1" applyBorder="1" applyAlignment="1">
      <alignment horizontal="centerContinuous" vertical="center" wrapText="1"/>
    </xf>
    <xf numFmtId="0" fontId="14" fillId="0" borderId="39" xfId="0" applyFont="1" applyFill="1" applyBorder="1" applyAlignment="1">
      <alignment horizontal="centerContinuous" vertical="center" wrapText="1"/>
    </xf>
    <xf numFmtId="0" fontId="14" fillId="0" borderId="40" xfId="0" applyFont="1" applyFill="1" applyBorder="1" applyAlignment="1">
      <alignment horizontal="centerContinuous" vertical="center" wrapText="1"/>
    </xf>
    <xf numFmtId="0" fontId="14" fillId="0" borderId="82" xfId="0" applyFont="1" applyFill="1" applyBorder="1" applyAlignment="1">
      <alignment horizontal="centerContinuous" vertical="center" wrapText="1"/>
    </xf>
    <xf numFmtId="0" fontId="14" fillId="0" borderId="11" xfId="0" applyFont="1" applyFill="1" applyBorder="1" applyAlignment="1">
      <alignment horizontal="center" vertical="center" wrapText="1"/>
    </xf>
    <xf numFmtId="0" fontId="14" fillId="0" borderId="46" xfId="0" applyFont="1" applyFill="1" applyBorder="1" applyAlignment="1">
      <alignment horizontal="center" vertical="center" wrapText="1"/>
    </xf>
    <xf numFmtId="0" fontId="12" fillId="0" borderId="43" xfId="0" applyNumberFormat="1" applyFont="1" applyBorder="1" applyAlignment="1">
      <alignment horizontal="center" vertical="top" wrapText="1"/>
    </xf>
    <xf numFmtId="186" fontId="12" fillId="0" borderId="43" xfId="0" applyNumberFormat="1" applyFont="1" applyBorder="1" applyAlignment="1">
      <alignment vertical="top" wrapText="1"/>
    </xf>
    <xf numFmtId="186" fontId="12" fillId="0" borderId="7" xfId="0" applyNumberFormat="1" applyFont="1" applyBorder="1" applyAlignment="1">
      <alignment vertical="top" wrapText="1"/>
    </xf>
    <xf numFmtId="186" fontId="12" fillId="0" borderId="12" xfId="0" applyNumberFormat="1" applyFont="1" applyBorder="1" applyAlignment="1">
      <alignment vertical="top" wrapText="1"/>
    </xf>
    <xf numFmtId="186" fontId="12" fillId="0" borderId="6" xfId="0" applyNumberFormat="1" applyFont="1" applyBorder="1" applyAlignment="1">
      <alignment vertical="top" wrapText="1"/>
    </xf>
    <xf numFmtId="187" fontId="12" fillId="0" borderId="11" xfId="0" applyNumberFormat="1" applyFont="1" applyBorder="1" applyAlignment="1">
      <alignment vertical="top" wrapText="1"/>
    </xf>
    <xf numFmtId="0" fontId="12" fillId="0" borderId="42" xfId="0" applyNumberFormat="1" applyFont="1" applyBorder="1" applyAlignment="1">
      <alignment horizontal="center" vertical="top" wrapText="1"/>
    </xf>
    <xf numFmtId="186" fontId="12" fillId="0" borderId="42" xfId="1" applyNumberFormat="1" applyFont="1" applyBorder="1" applyAlignment="1">
      <alignment vertical="top" wrapText="1"/>
    </xf>
    <xf numFmtId="186" fontId="12" fillId="0" borderId="8" xfId="1" applyNumberFormat="1" applyFont="1" applyBorder="1" applyAlignment="1">
      <alignment vertical="top" wrapText="1"/>
    </xf>
    <xf numFmtId="186" fontId="12" fillId="0" borderId="3" xfId="1" applyNumberFormat="1" applyFont="1" applyBorder="1" applyAlignment="1">
      <alignment vertical="top" wrapText="1"/>
    </xf>
    <xf numFmtId="186" fontId="12" fillId="0" borderId="0" xfId="1" applyNumberFormat="1" applyFont="1" applyBorder="1" applyAlignment="1">
      <alignment vertical="top" wrapText="1"/>
    </xf>
    <xf numFmtId="187" fontId="12" fillId="0" borderId="1" xfId="1" applyNumberFormat="1" applyFont="1" applyBorder="1" applyAlignment="1">
      <alignment vertical="top" wrapText="1"/>
    </xf>
    <xf numFmtId="0" fontId="14" fillId="0" borderId="3" xfId="0" applyNumberFormat="1" applyFont="1" applyBorder="1" applyAlignment="1">
      <alignment horizontal="right" wrapText="1"/>
    </xf>
    <xf numFmtId="186" fontId="14" fillId="0" borderId="46" xfId="1" applyNumberFormat="1" applyFont="1" applyBorder="1" applyAlignment="1">
      <alignment vertical="top" wrapText="1"/>
    </xf>
    <xf numFmtId="186" fontId="14" fillId="0" borderId="49" xfId="1" applyNumberFormat="1" applyFont="1" applyBorder="1" applyAlignment="1">
      <alignment vertical="top" wrapText="1"/>
    </xf>
    <xf numFmtId="186" fontId="14" fillId="0" borderId="50" xfId="1" applyNumberFormat="1" applyFont="1" applyBorder="1" applyAlignment="1">
      <alignment vertical="top" wrapText="1"/>
    </xf>
    <xf numFmtId="186" fontId="14" fillId="0" borderId="48" xfId="1" applyNumberFormat="1" applyFont="1" applyBorder="1" applyAlignment="1">
      <alignment vertical="top" wrapText="1"/>
    </xf>
    <xf numFmtId="187" fontId="14" fillId="0" borderId="44" xfId="7" applyNumberFormat="1" applyFont="1" applyBorder="1" applyAlignment="1">
      <alignment vertical="top" wrapText="1"/>
    </xf>
    <xf numFmtId="0" fontId="14" fillId="0" borderId="3" xfId="0" applyNumberFormat="1" applyFont="1" applyBorder="1" applyAlignment="1">
      <alignment horizontal="left" wrapText="1" indent="1"/>
    </xf>
    <xf numFmtId="187" fontId="14" fillId="0" borderId="42" xfId="1" applyNumberFormat="1" applyFont="1" applyBorder="1" applyAlignment="1">
      <alignment vertical="top" wrapText="1"/>
    </xf>
    <xf numFmtId="187" fontId="14" fillId="0" borderId="42" xfId="7" applyNumberFormat="1" applyFont="1" applyBorder="1" applyAlignment="1">
      <alignment vertical="top" wrapText="1"/>
    </xf>
    <xf numFmtId="187" fontId="14" fillId="0" borderId="8" xfId="7" applyNumberFormat="1" applyFont="1" applyBorder="1" applyAlignment="1">
      <alignment vertical="top" wrapText="1"/>
    </xf>
    <xf numFmtId="187" fontId="14" fillId="0" borderId="3" xfId="7" applyNumberFormat="1" applyFont="1" applyBorder="1" applyAlignment="1">
      <alignment vertical="top" wrapText="1"/>
    </xf>
    <xf numFmtId="187" fontId="14" fillId="0" borderId="0" xfId="7" applyNumberFormat="1" applyFont="1" applyBorder="1" applyAlignment="1">
      <alignment vertical="top" wrapText="1"/>
    </xf>
    <xf numFmtId="187" fontId="14" fillId="0" borderId="1" xfId="7" applyNumberFormat="1" applyFont="1" applyBorder="1" applyAlignment="1">
      <alignment vertical="top" wrapText="1"/>
    </xf>
    <xf numFmtId="43" fontId="12" fillId="0" borderId="42" xfId="1" applyFont="1" applyBorder="1" applyAlignment="1">
      <alignment horizontal="center" vertical="top" wrapText="1"/>
    </xf>
    <xf numFmtId="43" fontId="12" fillId="0" borderId="8" xfId="1" applyFont="1" applyBorder="1" applyAlignment="1">
      <alignment horizontal="center" vertical="top" wrapText="1"/>
    </xf>
    <xf numFmtId="43" fontId="12" fillId="0" borderId="3" xfId="1" applyFont="1" applyBorder="1" applyAlignment="1">
      <alignment horizontal="center" vertical="top" wrapText="1"/>
    </xf>
    <xf numFmtId="43" fontId="12" fillId="0" borderId="0" xfId="1" applyFont="1" applyBorder="1" applyAlignment="1">
      <alignment horizontal="center" vertical="top" wrapText="1"/>
    </xf>
    <xf numFmtId="0" fontId="16" fillId="0" borderId="50" xfId="0" applyNumberFormat="1" applyFont="1" applyBorder="1" applyAlignment="1">
      <alignment horizontal="left" wrapText="1"/>
    </xf>
    <xf numFmtId="0" fontId="12" fillId="0" borderId="46" xfId="0" applyNumberFormat="1" applyFont="1" applyBorder="1" applyAlignment="1">
      <alignment horizontal="center" vertical="top" wrapText="1"/>
    </xf>
    <xf numFmtId="186" fontId="12" fillId="0" borderId="46" xfId="1" applyNumberFormat="1" applyFont="1" applyBorder="1" applyAlignment="1">
      <alignment vertical="top" wrapText="1"/>
    </xf>
    <xf numFmtId="186" fontId="12" fillId="0" borderId="49" xfId="1" applyNumberFormat="1" applyFont="1" applyBorder="1" applyAlignment="1">
      <alignment vertical="top" wrapText="1"/>
    </xf>
    <xf numFmtId="186" fontId="12" fillId="0" borderId="50" xfId="1" applyNumberFormat="1" applyFont="1" applyBorder="1" applyAlignment="1">
      <alignment vertical="top" wrapText="1"/>
    </xf>
    <xf numFmtId="186" fontId="12" fillId="0" borderId="48" xfId="1" applyNumberFormat="1" applyFont="1" applyBorder="1" applyAlignment="1">
      <alignment vertical="top" wrapText="1"/>
    </xf>
    <xf numFmtId="187" fontId="12" fillId="0" borderId="44" xfId="1" applyNumberFormat="1" applyFont="1" applyBorder="1" applyAlignment="1">
      <alignment vertical="top" wrapText="1"/>
    </xf>
    <xf numFmtId="0" fontId="14" fillId="0" borderId="42" xfId="0" applyNumberFormat="1" applyFont="1" applyBorder="1" applyAlignment="1">
      <alignment horizontal="center" vertical="top" wrapText="1"/>
    </xf>
    <xf numFmtId="0" fontId="16" fillId="0" borderId="4" xfId="0" applyNumberFormat="1" applyFont="1" applyBorder="1" applyAlignment="1">
      <alignment horizontal="left" wrapText="1"/>
    </xf>
    <xf numFmtId="0" fontId="12" fillId="0" borderId="36" xfId="0" applyFont="1" applyBorder="1" applyAlignment="1">
      <alignment horizontal="center" vertical="top" wrapText="1"/>
    </xf>
    <xf numFmtId="0" fontId="12" fillId="0" borderId="10" xfId="0" applyFont="1" applyBorder="1" applyAlignment="1">
      <alignment horizontal="center" vertical="top" wrapText="1"/>
    </xf>
    <xf numFmtId="0" fontId="12" fillId="0" borderId="4" xfId="0" applyFont="1" applyBorder="1" applyAlignment="1">
      <alignment horizontal="center" vertical="top" wrapText="1"/>
    </xf>
    <xf numFmtId="0" fontId="12" fillId="0" borderId="9" xfId="0" applyFont="1" applyBorder="1" applyAlignment="1">
      <alignment horizontal="center" vertical="top" wrapText="1"/>
    </xf>
    <xf numFmtId="187" fontId="12" fillId="0" borderId="5" xfId="0" applyNumberFormat="1" applyFont="1" applyBorder="1" applyAlignment="1">
      <alignment vertical="top" wrapText="1"/>
    </xf>
    <xf numFmtId="0" fontId="12" fillId="0" borderId="0" xfId="0" applyFont="1" applyAlignment="1" applyProtection="1">
      <alignment horizontal="center"/>
    </xf>
    <xf numFmtId="4" fontId="12" fillId="0" borderId="0" xfId="0" applyNumberFormat="1" applyFont="1" applyProtection="1"/>
    <xf numFmtId="10" fontId="12" fillId="0" borderId="0" xfId="0" applyNumberFormat="1" applyFont="1" applyProtection="1"/>
    <xf numFmtId="0" fontId="12" fillId="0" borderId="0" xfId="0" applyFont="1" applyProtection="1"/>
    <xf numFmtId="4" fontId="12" fillId="0" borderId="0" xfId="0" applyNumberFormat="1" applyFont="1" applyProtection="1">
      <protection locked="0"/>
    </xf>
    <xf numFmtId="0" fontId="12" fillId="0" borderId="0" xfId="0" applyFont="1" applyProtection="1">
      <protection locked="0"/>
    </xf>
    <xf numFmtId="182" fontId="12" fillId="0" borderId="43" xfId="0" applyNumberFormat="1" applyFont="1" applyBorder="1" applyAlignment="1"/>
    <xf numFmtId="182" fontId="12" fillId="0" borderId="8" xfId="0" applyNumberFormat="1" applyFont="1" applyBorder="1" applyAlignment="1"/>
    <xf numFmtId="182" fontId="12" fillId="0" borderId="3" xfId="0" applyNumberFormat="1" applyFont="1" applyBorder="1" applyAlignment="1"/>
    <xf numFmtId="182" fontId="12" fillId="0" borderId="0" xfId="0" applyNumberFormat="1" applyFont="1" applyBorder="1" applyAlignment="1"/>
    <xf numFmtId="182" fontId="12" fillId="0" borderId="45" xfId="0" applyNumberFormat="1" applyFont="1" applyBorder="1" applyAlignment="1"/>
    <xf numFmtId="182" fontId="12" fillId="0" borderId="42" xfId="0" applyNumberFormat="1" applyFont="1" applyBorder="1" applyAlignment="1"/>
    <xf numFmtId="182" fontId="12" fillId="0" borderId="47" xfId="0" applyNumberFormat="1" applyFont="1" applyBorder="1" applyAlignment="1"/>
    <xf numFmtId="182" fontId="14" fillId="0" borderId="46" xfId="0" applyNumberFormat="1" applyFont="1" applyBorder="1" applyAlignment="1"/>
    <xf numFmtId="182" fontId="14" fillId="0" borderId="49" xfId="0" applyNumberFormat="1" applyFont="1" applyBorder="1" applyAlignment="1"/>
    <xf numFmtId="182" fontId="14" fillId="0" borderId="50" xfId="0" applyNumberFormat="1" applyFont="1" applyBorder="1" applyAlignment="1"/>
    <xf numFmtId="182" fontId="14" fillId="0" borderId="48" xfId="0" applyNumberFormat="1" applyFont="1" applyBorder="1" applyAlignment="1"/>
    <xf numFmtId="182" fontId="14" fillId="0" borderId="51" xfId="0" applyNumberFormat="1" applyFont="1" applyBorder="1" applyAlignment="1"/>
    <xf numFmtId="182" fontId="12" fillId="0" borderId="46" xfId="0" applyNumberFormat="1" applyFont="1" applyBorder="1" applyAlignment="1"/>
    <xf numFmtId="182" fontId="12" fillId="0" borderId="49" xfId="0" applyNumberFormat="1" applyFont="1" applyBorder="1" applyAlignment="1"/>
    <xf numFmtId="182" fontId="12" fillId="0" borderId="50" xfId="0" applyNumberFormat="1" applyFont="1" applyBorder="1" applyAlignment="1"/>
    <xf numFmtId="182" fontId="12" fillId="0" borderId="48" xfId="0" applyNumberFormat="1" applyFont="1" applyBorder="1" applyAlignment="1"/>
    <xf numFmtId="182" fontId="12" fillId="0" borderId="51" xfId="0" applyNumberFormat="1" applyFont="1" applyBorder="1" applyAlignment="1"/>
    <xf numFmtId="0" fontId="12" fillId="0" borderId="53" xfId="0" applyFont="1" applyBorder="1"/>
    <xf numFmtId="182" fontId="14" fillId="0" borderId="53" xfId="0" applyNumberFormat="1" applyFont="1" applyBorder="1" applyAlignment="1"/>
    <xf numFmtId="182" fontId="14" fillId="0" borderId="55" xfId="0" applyNumberFormat="1" applyFont="1" applyBorder="1" applyAlignment="1"/>
    <xf numFmtId="182" fontId="14" fillId="0" borderId="52" xfId="0" applyNumberFormat="1" applyFont="1" applyBorder="1" applyAlignment="1"/>
    <xf numFmtId="182" fontId="14" fillId="0" borderId="54" xfId="0" applyNumberFormat="1" applyFont="1" applyBorder="1" applyAlignment="1"/>
    <xf numFmtId="182" fontId="14" fillId="0" borderId="56" xfId="0" applyNumberFormat="1" applyFont="1" applyBorder="1" applyAlignment="1"/>
    <xf numFmtId="0" fontId="14" fillId="0" borderId="66" xfId="0" applyFont="1" applyFill="1" applyBorder="1" applyAlignment="1">
      <alignment horizontal="center" vertical="center"/>
    </xf>
    <xf numFmtId="0" fontId="14" fillId="0" borderId="83" xfId="0" applyFont="1" applyFill="1" applyBorder="1" applyAlignment="1">
      <alignment horizontal="center" vertical="center" wrapText="1"/>
    </xf>
    <xf numFmtId="0" fontId="14" fillId="0" borderId="37" xfId="0" applyFont="1" applyFill="1" applyBorder="1" applyAlignment="1">
      <alignment horizontal="center" vertical="center"/>
    </xf>
    <xf numFmtId="0" fontId="14" fillId="0" borderId="4" xfId="0" applyFont="1" applyFill="1" applyBorder="1" applyAlignment="1">
      <alignment horizontal="centerContinuous" vertical="top" wrapText="1"/>
    </xf>
    <xf numFmtId="0" fontId="14" fillId="0" borderId="77" xfId="0" applyFont="1" applyFill="1" applyBorder="1" applyAlignment="1">
      <alignment horizontal="centerContinuous" vertical="top" wrapText="1"/>
    </xf>
    <xf numFmtId="0" fontId="12" fillId="0" borderId="67" xfId="0" applyNumberFormat="1" applyFont="1" applyBorder="1" applyAlignment="1">
      <alignment horizontal="center"/>
    </xf>
    <xf numFmtId="176" fontId="12" fillId="0" borderId="76" xfId="0" applyNumberFormat="1" applyFont="1" applyBorder="1" applyAlignment="1">
      <alignment horizontal="center"/>
    </xf>
    <xf numFmtId="176" fontId="12" fillId="0" borderId="3" xfId="0" applyNumberFormat="1" applyFont="1" applyBorder="1" applyAlignment="1"/>
    <xf numFmtId="176" fontId="12" fillId="0" borderId="76" xfId="0" applyNumberFormat="1" applyFont="1" applyBorder="1" applyAlignment="1"/>
    <xf numFmtId="188" fontId="12" fillId="0" borderId="76" xfId="0" applyNumberFormat="1" applyFont="1" applyBorder="1" applyAlignment="1">
      <alignment horizontal="center"/>
    </xf>
    <xf numFmtId="182" fontId="12" fillId="0" borderId="76" xfId="0" applyNumberFormat="1" applyFont="1" applyBorder="1" applyAlignment="1"/>
    <xf numFmtId="182" fontId="14" fillId="0" borderId="79" xfId="0" applyNumberFormat="1" applyFont="1" applyBorder="1" applyAlignment="1"/>
    <xf numFmtId="0" fontId="12" fillId="0" borderId="37" xfId="0" applyNumberFormat="1" applyFont="1" applyBorder="1" applyAlignment="1">
      <alignment horizontal="center"/>
    </xf>
    <xf numFmtId="188" fontId="12" fillId="0" borderId="77" xfId="0" applyNumberFormat="1" applyFont="1" applyBorder="1" applyAlignment="1">
      <alignment horizontal="center"/>
    </xf>
    <xf numFmtId="182" fontId="14" fillId="0" borderId="84" xfId="0" applyNumberFormat="1" applyFont="1" applyBorder="1" applyAlignment="1"/>
    <xf numFmtId="183" fontId="12" fillId="0" borderId="0" xfId="1" applyNumberFormat="1" applyFont="1"/>
    <xf numFmtId="0" fontId="12" fillId="0" borderId="43" xfId="0" applyNumberFormat="1" applyFont="1" applyBorder="1" applyAlignment="1">
      <alignment horizontal="center"/>
    </xf>
    <xf numFmtId="182" fontId="12" fillId="0" borderId="8" xfId="0" applyNumberFormat="1" applyFont="1" applyFill="1" applyBorder="1" applyAlignment="1"/>
    <xf numFmtId="182" fontId="14" fillId="0" borderId="42" xfId="0" applyNumberFormat="1" applyFont="1" applyBorder="1" applyAlignment="1"/>
    <xf numFmtId="182" fontId="14" fillId="0" borderId="8" xfId="0" applyNumberFormat="1" applyFont="1" applyBorder="1" applyAlignment="1"/>
    <xf numFmtId="182" fontId="14" fillId="0" borderId="3" xfId="0" applyNumberFormat="1" applyFont="1" applyBorder="1" applyAlignment="1"/>
    <xf numFmtId="182" fontId="14" fillId="0" borderId="0" xfId="0" applyNumberFormat="1" applyFont="1" applyBorder="1" applyAlignment="1"/>
    <xf numFmtId="182" fontId="14" fillId="0" borderId="47" xfId="0" applyNumberFormat="1" applyFont="1" applyBorder="1" applyAlignment="1"/>
    <xf numFmtId="0" fontId="14" fillId="0" borderId="85" xfId="0" applyFont="1" applyFill="1" applyBorder="1" applyAlignment="1">
      <alignment horizontal="center" vertical="center" wrapText="1"/>
    </xf>
    <xf numFmtId="182" fontId="14" fillId="0" borderId="43" xfId="0" applyNumberFormat="1" applyFont="1" applyBorder="1" applyAlignment="1"/>
    <xf numFmtId="182" fontId="14" fillId="0" borderId="7" xfId="0" applyNumberFormat="1" applyFont="1" applyBorder="1" applyAlignment="1"/>
    <xf numFmtId="182" fontId="14" fillId="0" borderId="12" xfId="0" applyNumberFormat="1" applyFont="1" applyBorder="1" applyAlignment="1"/>
    <xf numFmtId="182" fontId="14" fillId="0" borderId="6" xfId="0" applyNumberFormat="1" applyFont="1" applyBorder="1" applyAlignment="1"/>
    <xf numFmtId="182" fontId="14" fillId="0" borderId="45" xfId="0" applyNumberFormat="1" applyFont="1" applyBorder="1" applyAlignment="1"/>
    <xf numFmtId="0" fontId="14" fillId="0" borderId="62" xfId="0" applyNumberFormat="1" applyFont="1" applyBorder="1" applyAlignment="1">
      <alignment vertical="center"/>
    </xf>
    <xf numFmtId="0" fontId="12" fillId="0" borderId="60" xfId="0" applyNumberFormat="1" applyFont="1" applyBorder="1" applyAlignment="1">
      <alignment horizontal="center" vertical="center"/>
    </xf>
    <xf numFmtId="182" fontId="14" fillId="0" borderId="60" xfId="0" applyNumberFormat="1" applyFont="1" applyBorder="1" applyAlignment="1">
      <alignment vertical="center"/>
    </xf>
    <xf numFmtId="182" fontId="14" fillId="0" borderId="61" xfId="0" applyNumberFormat="1" applyFont="1" applyBorder="1" applyAlignment="1">
      <alignment vertical="center"/>
    </xf>
    <xf numFmtId="182" fontId="14" fillId="0" borderId="62" xfId="0" applyNumberFormat="1" applyFont="1" applyBorder="1" applyAlignment="1">
      <alignment vertical="center"/>
    </xf>
    <xf numFmtId="182" fontId="14" fillId="0" borderId="59" xfId="0" applyNumberFormat="1" applyFont="1" applyBorder="1" applyAlignment="1">
      <alignment vertical="center"/>
    </xf>
    <xf numFmtId="182" fontId="14" fillId="0" borderId="63" xfId="0" applyNumberFormat="1" applyFont="1" applyBorder="1" applyAlignment="1">
      <alignment vertical="center"/>
    </xf>
    <xf numFmtId="0" fontId="12" fillId="0" borderId="0" xfId="0" applyFont="1" applyAlignment="1">
      <alignment vertical="center"/>
    </xf>
    <xf numFmtId="0" fontId="14" fillId="0" borderId="3" xfId="0" quotePrefix="1" applyNumberFormat="1" applyFont="1" applyBorder="1" applyAlignment="1">
      <alignment horizontal="left" indent="1"/>
    </xf>
    <xf numFmtId="0" fontId="14" fillId="0" borderId="50" xfId="0" applyNumberFormat="1" applyFont="1" applyBorder="1" applyAlignment="1">
      <alignment horizontal="left"/>
    </xf>
    <xf numFmtId="0" fontId="12" fillId="0" borderId="46" xfId="0" applyNumberFormat="1" applyFont="1" applyBorder="1" applyAlignment="1">
      <alignment horizontal="center"/>
    </xf>
    <xf numFmtId="0" fontId="14" fillId="0" borderId="52" xfId="0" applyNumberFormat="1" applyFont="1" applyBorder="1" applyAlignment="1">
      <alignment vertical="center"/>
    </xf>
    <xf numFmtId="0" fontId="12" fillId="0" borderId="53" xfId="0" applyNumberFormat="1" applyFont="1" applyBorder="1" applyAlignment="1">
      <alignment horizontal="center" vertical="center"/>
    </xf>
    <xf numFmtId="182" fontId="14" fillId="0" borderId="53" xfId="0" applyNumberFormat="1" applyFont="1" applyBorder="1" applyAlignment="1">
      <alignment vertical="center"/>
    </xf>
    <xf numFmtId="182" fontId="14" fillId="0" borderId="55" xfId="0" applyNumberFormat="1" applyFont="1" applyBorder="1" applyAlignment="1">
      <alignment vertical="center"/>
    </xf>
    <xf numFmtId="182" fontId="14" fillId="0" borderId="52" xfId="0" applyNumberFormat="1" applyFont="1" applyBorder="1" applyAlignment="1">
      <alignment vertical="center"/>
    </xf>
    <xf numFmtId="182" fontId="14" fillId="0" borderId="54" xfId="0" applyNumberFormat="1" applyFont="1" applyBorder="1" applyAlignment="1">
      <alignment vertical="center"/>
    </xf>
    <xf numFmtId="182" fontId="14" fillId="0" borderId="56" xfId="0" applyNumberFormat="1" applyFont="1" applyBorder="1" applyAlignment="1">
      <alignment vertical="center"/>
    </xf>
    <xf numFmtId="182" fontId="12" fillId="0" borderId="42" xfId="1" applyNumberFormat="1" applyFont="1" applyBorder="1" applyAlignment="1"/>
    <xf numFmtId="182" fontId="12" fillId="0" borderId="0" xfId="1" applyNumberFormat="1" applyFont="1" applyBorder="1" applyAlignment="1"/>
    <xf numFmtId="182" fontId="12" fillId="0" borderId="3" xfId="1" applyNumberFormat="1" applyFont="1" applyBorder="1" applyAlignment="1"/>
    <xf numFmtId="182" fontId="12" fillId="0" borderId="47" xfId="1" applyNumberFormat="1" applyFont="1" applyBorder="1" applyAlignment="1"/>
    <xf numFmtId="182" fontId="12" fillId="0" borderId="8" xfId="1" applyNumberFormat="1" applyFont="1" applyBorder="1" applyAlignment="1"/>
    <xf numFmtId="182" fontId="12" fillId="0" borderId="42" xfId="1" applyNumberFormat="1" applyFont="1" applyFill="1" applyBorder="1" applyAlignment="1"/>
    <xf numFmtId="0" fontId="14" fillId="0" borderId="3" xfId="0" applyNumberFormat="1" applyFont="1" applyBorder="1" applyAlignment="1">
      <alignment horizontal="left" indent="2"/>
    </xf>
    <xf numFmtId="182" fontId="14" fillId="0" borderId="60" xfId="1" applyNumberFormat="1" applyFont="1" applyFill="1" applyBorder="1" applyAlignment="1"/>
    <xf numFmtId="182" fontId="14" fillId="0" borderId="60" xfId="1" applyNumberFormat="1" applyFont="1" applyBorder="1" applyAlignment="1"/>
    <xf numFmtId="182" fontId="14" fillId="0" borderId="61" xfId="1" applyNumberFormat="1" applyFont="1" applyBorder="1" applyAlignment="1"/>
    <xf numFmtId="182" fontId="14" fillId="0" borderId="62" xfId="1" applyNumberFormat="1" applyFont="1" applyBorder="1" applyAlignment="1"/>
    <xf numFmtId="182" fontId="14" fillId="0" borderId="59" xfId="1" applyNumberFormat="1" applyFont="1" applyBorder="1" applyAlignment="1"/>
    <xf numFmtId="182" fontId="14" fillId="0" borderId="63" xfId="1" applyNumberFormat="1" applyFont="1" applyBorder="1" applyAlignment="1"/>
    <xf numFmtId="182" fontId="14" fillId="0" borderId="42" xfId="0" applyNumberFormat="1" applyFont="1" applyFill="1" applyBorder="1" applyAlignment="1"/>
    <xf numFmtId="0" fontId="12" fillId="0" borderId="3" xfId="0" quotePrefix="1" applyNumberFormat="1" applyFont="1" applyBorder="1" applyAlignment="1">
      <alignment horizontal="left" indent="2"/>
    </xf>
    <xf numFmtId="182" fontId="12" fillId="0" borderId="0" xfId="1" applyNumberFormat="1" applyFont="1" applyFill="1" applyBorder="1" applyAlignment="1"/>
    <xf numFmtId="0" fontId="14" fillId="0" borderId="3" xfId="0" quotePrefix="1" applyNumberFormat="1" applyFont="1" applyBorder="1" applyAlignment="1">
      <alignment horizontal="left" indent="2"/>
    </xf>
    <xf numFmtId="0" fontId="14" fillId="0" borderId="62" xfId="0" applyNumberFormat="1" applyFont="1" applyBorder="1"/>
    <xf numFmtId="0" fontId="12" fillId="0" borderId="60" xfId="0" applyNumberFormat="1" applyFont="1" applyBorder="1" applyAlignment="1">
      <alignment horizontal="center"/>
    </xf>
    <xf numFmtId="182" fontId="14" fillId="0" borderId="60" xfId="0" applyNumberFormat="1" applyFont="1" applyBorder="1" applyAlignment="1"/>
    <xf numFmtId="182" fontId="14" fillId="0" borderId="61" xfId="0" applyNumberFormat="1" applyFont="1" applyBorder="1" applyAlignment="1"/>
    <xf numFmtId="182" fontId="14" fillId="0" borderId="62" xfId="0" applyNumberFormat="1" applyFont="1" applyBorder="1" applyAlignment="1"/>
    <xf numFmtId="182" fontId="14" fillId="0" borderId="59" xfId="0" applyNumberFormat="1" applyFont="1" applyBorder="1" applyAlignment="1"/>
    <xf numFmtId="182" fontId="14" fillId="0" borderId="63" xfId="0" applyNumberFormat="1" applyFont="1" applyBorder="1" applyAlignment="1"/>
    <xf numFmtId="0" fontId="14" fillId="0" borderId="3" xfId="0" quotePrefix="1" applyNumberFormat="1" applyFont="1" applyBorder="1"/>
    <xf numFmtId="0" fontId="17" fillId="0" borderId="0" xfId="0" applyFont="1" applyAlignment="1">
      <alignment horizontal="center"/>
    </xf>
    <xf numFmtId="0" fontId="12" fillId="0" borderId="0" xfId="0" applyFont="1" applyBorder="1" applyAlignment="1">
      <alignment horizontal="left" wrapText="1"/>
    </xf>
    <xf numFmtId="43" fontId="12" fillId="0" borderId="0" xfId="1" applyFont="1"/>
    <xf numFmtId="182" fontId="12" fillId="0" borderId="76" xfId="0" applyNumberFormat="1" applyFont="1" applyBorder="1"/>
    <xf numFmtId="182" fontId="14" fillId="0" borderId="86" xfId="0" applyNumberFormat="1" applyFont="1" applyBorder="1"/>
    <xf numFmtId="0" fontId="16" fillId="0" borderId="3" xfId="0" applyNumberFormat="1" applyFont="1" applyFill="1" applyBorder="1"/>
    <xf numFmtId="0" fontId="14" fillId="0" borderId="62" xfId="0" applyNumberFormat="1" applyFont="1" applyFill="1" applyBorder="1"/>
    <xf numFmtId="0" fontId="12" fillId="0" borderId="60" xfId="0" applyNumberFormat="1" applyFont="1" applyFill="1" applyBorder="1" applyAlignment="1">
      <alignment horizontal="center"/>
    </xf>
    <xf numFmtId="182" fontId="14" fillId="0" borderId="60" xfId="0" applyNumberFormat="1" applyFont="1" applyFill="1" applyBorder="1"/>
    <xf numFmtId="182" fontId="14" fillId="0" borderId="61" xfId="0" applyNumberFormat="1" applyFont="1" applyFill="1" applyBorder="1"/>
    <xf numFmtId="182" fontId="14" fillId="0" borderId="62" xfId="0" applyNumberFormat="1" applyFont="1" applyFill="1" applyBorder="1"/>
    <xf numFmtId="182" fontId="14" fillId="0" borderId="59" xfId="0" applyNumberFormat="1" applyFont="1" applyFill="1" applyBorder="1"/>
    <xf numFmtId="0" fontId="12" fillId="0" borderId="3" xfId="0" applyNumberFormat="1" applyFont="1" applyFill="1" applyBorder="1"/>
    <xf numFmtId="0" fontId="14" fillId="0" borderId="52" xfId="0" applyNumberFormat="1" applyFont="1" applyFill="1" applyBorder="1"/>
    <xf numFmtId="182" fontId="14" fillId="0" borderId="84" xfId="0" applyNumberFormat="1" applyFont="1" applyFill="1" applyBorder="1"/>
    <xf numFmtId="0" fontId="12" fillId="0" borderId="8" xfId="0" applyNumberFormat="1" applyFont="1" applyBorder="1" applyAlignment="1">
      <alignment horizontal="center"/>
    </xf>
    <xf numFmtId="0" fontId="12" fillId="0" borderId="3" xfId="0" applyNumberFormat="1" applyFont="1" applyBorder="1" applyAlignment="1">
      <alignment horizontal="center"/>
    </xf>
    <xf numFmtId="187" fontId="14" fillId="0" borderId="42" xfId="0" applyNumberFormat="1" applyFont="1" applyFill="1" applyBorder="1"/>
    <xf numFmtId="187" fontId="14" fillId="0" borderId="42" xfId="7" applyNumberFormat="1" applyFont="1" applyBorder="1" applyAlignment="1">
      <alignment horizontal="center"/>
    </xf>
    <xf numFmtId="187" fontId="14" fillId="0" borderId="8" xfId="7" applyNumberFormat="1" applyFont="1" applyBorder="1" applyAlignment="1">
      <alignment horizontal="center"/>
    </xf>
    <xf numFmtId="187" fontId="14" fillId="0" borderId="3" xfId="7" applyNumberFormat="1" applyFont="1" applyBorder="1" applyAlignment="1">
      <alignment horizontal="center"/>
    </xf>
    <xf numFmtId="187" fontId="14" fillId="0" borderId="0" xfId="7" applyNumberFormat="1" applyFont="1" applyBorder="1" applyAlignment="1">
      <alignment horizontal="center"/>
    </xf>
    <xf numFmtId="187" fontId="14" fillId="0" borderId="42" xfId="0" applyNumberFormat="1" applyFont="1" applyBorder="1"/>
    <xf numFmtId="187" fontId="12" fillId="0" borderId="42" xfId="0" applyNumberFormat="1" applyFont="1" applyBorder="1"/>
    <xf numFmtId="9" fontId="14" fillId="0" borderId="42" xfId="7" applyFont="1" applyBorder="1" applyAlignment="1">
      <alignment horizontal="center"/>
    </xf>
    <xf numFmtId="9" fontId="14" fillId="0" borderId="8" xfId="7" applyFont="1" applyBorder="1" applyAlignment="1">
      <alignment horizontal="center"/>
    </xf>
    <xf numFmtId="9" fontId="14" fillId="0" borderId="3" xfId="7" applyFont="1" applyBorder="1" applyAlignment="1">
      <alignment horizontal="center"/>
    </xf>
    <xf numFmtId="9" fontId="14" fillId="0" borderId="0" xfId="7" applyFont="1" applyBorder="1" applyAlignment="1">
      <alignment horizontal="center"/>
    </xf>
    <xf numFmtId="0" fontId="17" fillId="0" borderId="0" xfId="0" applyNumberFormat="1" applyFont="1"/>
    <xf numFmtId="176" fontId="12" fillId="0" borderId="0" xfId="0" applyNumberFormat="1" applyFont="1" applyFill="1"/>
    <xf numFmtId="0" fontId="14" fillId="0" borderId="7" xfId="0" applyFont="1" applyFill="1" applyBorder="1" applyAlignment="1">
      <alignment horizontal="center" vertical="top" wrapText="1"/>
    </xf>
    <xf numFmtId="183" fontId="12" fillId="0" borderId="42" xfId="1" applyNumberFormat="1" applyFont="1" applyBorder="1" applyAlignment="1">
      <alignment horizontal="center"/>
    </xf>
    <xf numFmtId="183" fontId="12" fillId="0" borderId="42" xfId="1" applyNumberFormat="1" applyFont="1" applyBorder="1"/>
    <xf numFmtId="183" fontId="12" fillId="0" borderId="1" xfId="1" applyNumberFormat="1" applyFont="1" applyBorder="1"/>
    <xf numFmtId="183" fontId="12" fillId="0" borderId="42" xfId="1" applyNumberFormat="1" applyFont="1" applyFill="1" applyBorder="1" applyAlignment="1">
      <alignment horizontal="center"/>
    </xf>
    <xf numFmtId="183" fontId="14" fillId="0" borderId="60" xfId="1" applyNumberFormat="1" applyFont="1" applyFill="1" applyBorder="1" applyAlignment="1">
      <alignment horizontal="center"/>
    </xf>
    <xf numFmtId="183" fontId="14" fillId="0" borderId="60" xfId="1" applyNumberFormat="1" applyFont="1" applyFill="1" applyBorder="1"/>
    <xf numFmtId="183" fontId="14" fillId="0" borderId="60" xfId="1" applyNumberFormat="1" applyFont="1" applyBorder="1"/>
    <xf numFmtId="183" fontId="14" fillId="0" borderId="87" xfId="1" applyNumberFormat="1" applyFont="1" applyBorder="1"/>
    <xf numFmtId="0" fontId="17" fillId="0" borderId="3" xfId="0" applyNumberFormat="1" applyFont="1" applyBorder="1"/>
    <xf numFmtId="183" fontId="14" fillId="0" borderId="60" xfId="1" applyNumberFormat="1" applyFont="1" applyBorder="1" applyAlignment="1">
      <alignment horizontal="center"/>
    </xf>
    <xf numFmtId="183" fontId="14" fillId="0" borderId="61" xfId="1" applyNumberFormat="1" applyFont="1" applyFill="1" applyBorder="1"/>
    <xf numFmtId="183" fontId="12" fillId="0" borderId="1" xfId="1" applyNumberFormat="1" applyFont="1" applyFill="1" applyBorder="1"/>
    <xf numFmtId="183" fontId="12" fillId="0" borderId="0" xfId="1" applyNumberFormat="1" applyFont="1" applyBorder="1"/>
    <xf numFmtId="0" fontId="14" fillId="0" borderId="52" xfId="0" applyNumberFormat="1" applyFont="1" applyBorder="1" applyAlignment="1">
      <alignment vertical="center" wrapText="1"/>
    </xf>
    <xf numFmtId="183" fontId="14" fillId="0" borderId="53" xfId="1" applyNumberFormat="1" applyFont="1" applyBorder="1" applyAlignment="1">
      <alignment horizontal="center" vertical="center"/>
    </xf>
    <xf numFmtId="183" fontId="14" fillId="0" borderId="53" xfId="1" applyNumberFormat="1" applyFont="1" applyBorder="1" applyAlignment="1">
      <alignment vertical="center"/>
    </xf>
    <xf numFmtId="183" fontId="14" fillId="0" borderId="55" xfId="1" applyNumberFormat="1" applyFont="1" applyBorder="1" applyAlignment="1">
      <alignment vertical="center"/>
    </xf>
    <xf numFmtId="183" fontId="14" fillId="0" borderId="88" xfId="1" applyNumberFormat="1" applyFont="1" applyBorder="1" applyAlignment="1">
      <alignment vertical="center"/>
    </xf>
    <xf numFmtId="183" fontId="12" fillId="0" borderId="8" xfId="1" applyNumberFormat="1" applyFont="1" applyBorder="1"/>
    <xf numFmtId="183" fontId="12" fillId="0" borderId="3" xfId="1" applyNumberFormat="1" applyFont="1" applyBorder="1"/>
    <xf numFmtId="183" fontId="12" fillId="0" borderId="76" xfId="1" applyNumberFormat="1" applyFont="1" applyBorder="1"/>
    <xf numFmtId="187" fontId="14" fillId="0" borderId="42" xfId="1" applyNumberFormat="1" applyFont="1" applyBorder="1"/>
    <xf numFmtId="187" fontId="14" fillId="0" borderId="76" xfId="7" applyNumberFormat="1" applyFont="1" applyBorder="1" applyAlignment="1">
      <alignment horizontal="center"/>
    </xf>
    <xf numFmtId="183" fontId="14" fillId="0" borderId="53" xfId="1" applyNumberFormat="1" applyFont="1" applyBorder="1"/>
    <xf numFmtId="183" fontId="14" fillId="0" borderId="84" xfId="1" applyNumberFormat="1" applyFont="1" applyBorder="1"/>
    <xf numFmtId="0" fontId="16" fillId="0" borderId="12" xfId="0" applyNumberFormat="1" applyFont="1" applyBorder="1"/>
    <xf numFmtId="0" fontId="16" fillId="0" borderId="75" xfId="0" applyNumberFormat="1" applyFont="1" applyBorder="1" applyAlignment="1">
      <alignment horizontal="center"/>
    </xf>
    <xf numFmtId="182" fontId="14" fillId="0" borderId="75" xfId="0" applyNumberFormat="1" applyFont="1" applyBorder="1" applyAlignment="1">
      <alignment horizontal="center"/>
    </xf>
    <xf numFmtId="0" fontId="12" fillId="0" borderId="76" xfId="0" applyNumberFormat="1" applyFont="1" applyBorder="1" applyAlignment="1">
      <alignment horizontal="center"/>
    </xf>
    <xf numFmtId="0" fontId="14" fillId="0" borderId="76" xfId="0" applyNumberFormat="1" applyFont="1" applyBorder="1" applyAlignment="1">
      <alignment horizontal="center"/>
    </xf>
    <xf numFmtId="182" fontId="14" fillId="0" borderId="79" xfId="0" applyNumberFormat="1" applyFont="1" applyBorder="1"/>
    <xf numFmtId="0" fontId="16" fillId="0" borderId="76" xfId="0" applyNumberFormat="1" applyFont="1" applyBorder="1" applyAlignment="1">
      <alignment horizontal="center"/>
    </xf>
    <xf numFmtId="0" fontId="14" fillId="0" borderId="50" xfId="0" applyNumberFormat="1" applyFont="1" applyBorder="1"/>
    <xf numFmtId="0" fontId="14" fillId="0" borderId="79" xfId="0" applyNumberFormat="1" applyFont="1" applyBorder="1" applyAlignment="1">
      <alignment horizontal="center"/>
    </xf>
    <xf numFmtId="0" fontId="14" fillId="0" borderId="50" xfId="0" applyNumberFormat="1" applyFont="1" applyBorder="1" applyAlignment="1">
      <alignment vertical="center" wrapText="1"/>
    </xf>
    <xf numFmtId="0" fontId="14" fillId="0" borderId="79" xfId="0" applyNumberFormat="1" applyFont="1" applyBorder="1" applyAlignment="1">
      <alignment horizontal="center" vertical="center" wrapText="1"/>
    </xf>
    <xf numFmtId="182" fontId="14" fillId="0" borderId="50" xfId="0" applyNumberFormat="1" applyFont="1" applyBorder="1" applyAlignment="1">
      <alignment vertical="center"/>
    </xf>
    <xf numFmtId="182" fontId="14" fillId="0" borderId="46" xfId="0" applyNumberFormat="1" applyFont="1" applyBorder="1" applyAlignment="1">
      <alignment vertical="center"/>
    </xf>
    <xf numFmtId="182" fontId="14" fillId="0" borderId="79" xfId="0" applyNumberFormat="1" applyFont="1" applyBorder="1" applyAlignment="1">
      <alignment vertical="center"/>
    </xf>
    <xf numFmtId="182" fontId="14" fillId="0" borderId="49" xfId="0" applyNumberFormat="1" applyFont="1" applyBorder="1" applyAlignment="1">
      <alignment vertical="center"/>
    </xf>
    <xf numFmtId="0" fontId="12" fillId="0" borderId="76" xfId="0" applyNumberFormat="1" applyFont="1" applyBorder="1" applyAlignment="1">
      <alignment horizontal="center" vertical="top" wrapText="1"/>
    </xf>
    <xf numFmtId="0" fontId="14" fillId="0" borderId="84" xfId="0" quotePrefix="1" applyNumberFormat="1" applyFont="1" applyBorder="1" applyAlignment="1">
      <alignment horizontal="center" vertical="center" wrapText="1"/>
    </xf>
    <xf numFmtId="0" fontId="18" fillId="0" borderId="0" xfId="0" applyNumberFormat="1" applyFont="1" applyBorder="1" applyAlignment="1">
      <alignment vertical="center" wrapText="1"/>
    </xf>
    <xf numFmtId="172" fontId="17" fillId="0" borderId="0" xfId="1" applyNumberFormat="1" applyFont="1"/>
    <xf numFmtId="0" fontId="19" fillId="0" borderId="0" xfId="0" applyFont="1" applyBorder="1" applyAlignment="1">
      <alignment horizontal="center" vertical="center" wrapText="1"/>
    </xf>
    <xf numFmtId="0" fontId="12" fillId="0" borderId="84" xfId="0" quotePrefix="1" applyNumberFormat="1" applyFont="1" applyBorder="1" applyAlignment="1">
      <alignment horizontal="center" vertical="center" wrapText="1"/>
    </xf>
    <xf numFmtId="0" fontId="12" fillId="0" borderId="3" xfId="0" applyNumberFormat="1" applyFont="1" applyFill="1" applyBorder="1" applyAlignment="1"/>
    <xf numFmtId="0" fontId="17" fillId="0" borderId="0" xfId="0" applyFont="1" applyFill="1" applyAlignment="1">
      <alignment horizontal="center"/>
    </xf>
    <xf numFmtId="0" fontId="14" fillId="0" borderId="68" xfId="0" applyNumberFormat="1" applyFont="1" applyFill="1" applyBorder="1" applyAlignment="1">
      <alignment vertical="center" wrapText="1"/>
    </xf>
    <xf numFmtId="182" fontId="14" fillId="0" borderId="68" xfId="0" applyNumberFormat="1" applyFont="1" applyFill="1" applyBorder="1" applyAlignment="1">
      <alignment vertical="center"/>
    </xf>
    <xf numFmtId="182" fontId="14" fillId="0" borderId="71" xfId="0" applyNumberFormat="1" applyFont="1" applyFill="1" applyBorder="1" applyAlignment="1">
      <alignment vertical="center"/>
    </xf>
    <xf numFmtId="182" fontId="14" fillId="0" borderId="72" xfId="0" applyNumberFormat="1" applyFont="1" applyFill="1" applyBorder="1" applyAlignment="1">
      <alignment vertical="center"/>
    </xf>
    <xf numFmtId="176" fontId="14" fillId="0" borderId="89" xfId="0" applyNumberFormat="1" applyFont="1" applyFill="1" applyBorder="1" applyAlignment="1">
      <alignment vertical="center"/>
    </xf>
    <xf numFmtId="176" fontId="14" fillId="0" borderId="90" xfId="0" applyNumberFormat="1" applyFont="1" applyFill="1" applyBorder="1" applyAlignment="1">
      <alignment vertical="center"/>
    </xf>
    <xf numFmtId="176" fontId="14" fillId="0" borderId="91" xfId="0" applyNumberFormat="1" applyFont="1" applyFill="1" applyBorder="1" applyAlignment="1">
      <alignment vertical="center"/>
    </xf>
    <xf numFmtId="0" fontId="12" fillId="0" borderId="0" xfId="0" applyFont="1" applyFill="1" applyAlignment="1">
      <alignment vertical="center"/>
    </xf>
    <xf numFmtId="0" fontId="12" fillId="0" borderId="5" xfId="0" applyNumberFormat="1" applyFont="1" applyFill="1" applyBorder="1"/>
    <xf numFmtId="182" fontId="12" fillId="0" borderId="4" xfId="0" applyNumberFormat="1" applyFont="1" applyFill="1" applyBorder="1"/>
    <xf numFmtId="182" fontId="12" fillId="0" borderId="36" xfId="0" applyNumberFormat="1" applyFont="1" applyFill="1" applyBorder="1"/>
    <xf numFmtId="182" fontId="12" fillId="0" borderId="10" xfId="0" applyNumberFormat="1" applyFont="1" applyFill="1" applyBorder="1"/>
    <xf numFmtId="0" fontId="14" fillId="0" borderId="92" xfId="0" applyFont="1" applyFill="1" applyBorder="1" applyAlignment="1">
      <alignment horizontal="center" vertical="center" wrapText="1"/>
    </xf>
    <xf numFmtId="0" fontId="16" fillId="0" borderId="11" xfId="0" applyNumberFormat="1" applyFont="1" applyBorder="1"/>
    <xf numFmtId="181" fontId="12" fillId="0" borderId="47" xfId="0" applyNumberFormat="1" applyFont="1" applyFill="1" applyBorder="1"/>
    <xf numFmtId="181" fontId="12" fillId="0" borderId="45" xfId="0" applyNumberFormat="1" applyFont="1" applyFill="1" applyBorder="1"/>
    <xf numFmtId="0" fontId="12" fillId="0" borderId="1" xfId="0" applyNumberFormat="1" applyFont="1" applyBorder="1" applyAlignment="1">
      <alignment horizontal="left" indent="1"/>
    </xf>
    <xf numFmtId="0" fontId="14" fillId="0" borderId="1" xfId="0" applyNumberFormat="1" applyFont="1" applyBorder="1"/>
    <xf numFmtId="181" fontId="14" fillId="0" borderId="51" xfId="0" applyNumberFormat="1" applyFont="1" applyFill="1" applyBorder="1"/>
    <xf numFmtId="181" fontId="14" fillId="0" borderId="50" xfId="0" applyNumberFormat="1" applyFont="1" applyFill="1" applyBorder="1"/>
    <xf numFmtId="181" fontId="14" fillId="0" borderId="48" xfId="0" applyNumberFormat="1" applyFont="1" applyFill="1" applyBorder="1"/>
    <xf numFmtId="181" fontId="14" fillId="0" borderId="63" xfId="0" applyNumberFormat="1" applyFont="1" applyFill="1" applyBorder="1"/>
    <xf numFmtId="181" fontId="14" fillId="0" borderId="60" xfId="0" applyNumberFormat="1" applyFont="1" applyFill="1" applyBorder="1"/>
    <xf numFmtId="181" fontId="14" fillId="0" borderId="61" xfId="0" applyNumberFormat="1" applyFont="1" applyFill="1" applyBorder="1"/>
    <xf numFmtId="181" fontId="14" fillId="0" borderId="62" xfId="0" applyNumberFormat="1" applyFont="1" applyFill="1" applyBorder="1"/>
    <xf numFmtId="181" fontId="14" fillId="0" borderId="59" xfId="0" applyNumberFormat="1" applyFont="1" applyFill="1" applyBorder="1"/>
    <xf numFmtId="181" fontId="14" fillId="0" borderId="47" xfId="0" applyNumberFormat="1" applyFont="1" applyFill="1" applyBorder="1"/>
    <xf numFmtId="181" fontId="14" fillId="0" borderId="3" xfId="0" applyNumberFormat="1" applyFont="1" applyFill="1" applyBorder="1"/>
    <xf numFmtId="181" fontId="14" fillId="0" borderId="0" xfId="0" applyNumberFormat="1" applyFont="1" applyFill="1" applyBorder="1"/>
    <xf numFmtId="0" fontId="12" fillId="0" borderId="5" xfId="0" applyNumberFormat="1" applyFont="1" applyBorder="1"/>
    <xf numFmtId="181" fontId="12" fillId="0" borderId="64" xfId="0" applyNumberFormat="1" applyFont="1" applyFill="1" applyBorder="1"/>
    <xf numFmtId="181" fontId="12" fillId="0" borderId="36" xfId="0" applyNumberFormat="1" applyFont="1" applyFill="1" applyBorder="1"/>
    <xf numFmtId="181" fontId="12" fillId="0" borderId="10" xfId="0" applyNumberFormat="1" applyFont="1" applyFill="1" applyBorder="1"/>
    <xf numFmtId="181" fontId="12" fillId="0" borderId="4" xfId="0" applyNumberFormat="1" applyFont="1" applyFill="1" applyBorder="1"/>
    <xf numFmtId="181" fontId="12" fillId="0" borderId="9" xfId="0" applyNumberFormat="1" applyFont="1" applyFill="1" applyBorder="1"/>
    <xf numFmtId="0" fontId="16" fillId="0" borderId="1" xfId="0" applyNumberFormat="1" applyFont="1" applyBorder="1"/>
    <xf numFmtId="0" fontId="15" fillId="0" borderId="1" xfId="0" applyNumberFormat="1" applyFont="1" applyBorder="1"/>
    <xf numFmtId="177" fontId="12" fillId="0" borderId="0" xfId="0" applyNumberFormat="1" applyFont="1"/>
    <xf numFmtId="181" fontId="12" fillId="0" borderId="43" xfId="0" applyNumberFormat="1" applyFont="1" applyFill="1" applyBorder="1"/>
    <xf numFmtId="181" fontId="12" fillId="0" borderId="7" xfId="0" applyNumberFormat="1" applyFont="1" applyFill="1" applyBorder="1"/>
    <xf numFmtId="181" fontId="12" fillId="0" borderId="12" xfId="0" applyNumberFormat="1" applyFont="1" applyFill="1" applyBorder="1"/>
    <xf numFmtId="181" fontId="12" fillId="0" borderId="6" xfId="0" applyNumberFormat="1" applyFont="1" applyFill="1" applyBorder="1"/>
    <xf numFmtId="0" fontId="12" fillId="0" borderId="5" xfId="0" applyFont="1" applyBorder="1"/>
    <xf numFmtId="0" fontId="14" fillId="0" borderId="7" xfId="0" applyFont="1" applyFill="1" applyBorder="1" applyAlignment="1">
      <alignment horizontal="center" vertical="center" wrapText="1"/>
    </xf>
    <xf numFmtId="0" fontId="14" fillId="0" borderId="53" xfId="0" applyFont="1" applyFill="1" applyBorder="1" applyAlignment="1">
      <alignment horizontal="center" vertical="center" wrapText="1"/>
    </xf>
    <xf numFmtId="0" fontId="14" fillId="0" borderId="84" xfId="0" applyFont="1" applyFill="1" applyBorder="1" applyAlignment="1">
      <alignment horizontal="center" vertical="center" wrapText="1"/>
    </xf>
    <xf numFmtId="0" fontId="14" fillId="0" borderId="82" xfId="0" applyFont="1" applyFill="1" applyBorder="1" applyAlignment="1">
      <alignment horizontal="center" vertical="center" wrapText="1"/>
    </xf>
    <xf numFmtId="0" fontId="12" fillId="0" borderId="36" xfId="0" applyNumberFormat="1" applyFont="1" applyFill="1" applyBorder="1" applyAlignment="1">
      <alignment horizontal="center" vertical="center"/>
    </xf>
    <xf numFmtId="182" fontId="14" fillId="0" borderId="1" xfId="0" applyNumberFormat="1" applyFont="1" applyBorder="1" applyAlignment="1">
      <alignment horizontal="center"/>
    </xf>
    <xf numFmtId="182" fontId="12" fillId="0" borderId="44" xfId="0" applyNumberFormat="1" applyFont="1" applyBorder="1"/>
    <xf numFmtId="182" fontId="12" fillId="0" borderId="88" xfId="0" applyNumberFormat="1" applyFont="1" applyBorder="1"/>
    <xf numFmtId="0" fontId="9" fillId="0" borderId="0" xfId="0" applyFont="1" applyFill="1" applyBorder="1" applyAlignment="1">
      <alignment horizontal="left"/>
    </xf>
    <xf numFmtId="182" fontId="14" fillId="0" borderId="43" xfId="0" applyNumberFormat="1" applyFont="1" applyFill="1" applyBorder="1" applyAlignment="1">
      <alignment horizontal="center"/>
    </xf>
    <xf numFmtId="182" fontId="14" fillId="0" borderId="6" xfId="0" applyNumberFormat="1" applyFont="1" applyFill="1" applyBorder="1" applyAlignment="1">
      <alignment horizontal="center"/>
    </xf>
    <xf numFmtId="182" fontId="12" fillId="0" borderId="42" xfId="0" applyNumberFormat="1" applyFont="1" applyFill="1" applyBorder="1" applyAlignment="1">
      <alignment horizontal="right"/>
    </xf>
    <xf numFmtId="182" fontId="12" fillId="0" borderId="0" xfId="0" applyNumberFormat="1" applyFont="1" applyFill="1" applyBorder="1" applyAlignment="1">
      <alignment horizontal="right"/>
    </xf>
    <xf numFmtId="182" fontId="12" fillId="0" borderId="3" xfId="0" applyNumberFormat="1" applyFont="1" applyFill="1" applyBorder="1" applyAlignment="1">
      <alignment horizontal="right"/>
    </xf>
    <xf numFmtId="182" fontId="12" fillId="0" borderId="8" xfId="0" applyNumberFormat="1" applyFont="1" applyFill="1" applyBorder="1" applyAlignment="1">
      <alignment horizontal="right"/>
    </xf>
    <xf numFmtId="182" fontId="14" fillId="0" borderId="42" xfId="0" applyNumberFormat="1" applyFont="1" applyFill="1" applyBorder="1" applyAlignment="1">
      <alignment horizontal="right"/>
    </xf>
    <xf numFmtId="182" fontId="14" fillId="0" borderId="0" xfId="0" applyNumberFormat="1" applyFont="1" applyFill="1" applyBorder="1" applyAlignment="1">
      <alignment horizontal="right"/>
    </xf>
    <xf numFmtId="182" fontId="14" fillId="0" borderId="3" xfId="0" applyNumberFormat="1" applyFont="1" applyFill="1" applyBorder="1" applyAlignment="1">
      <alignment horizontal="right"/>
    </xf>
    <xf numFmtId="182" fontId="14" fillId="0" borderId="8" xfId="0" applyNumberFormat="1" applyFont="1" applyFill="1" applyBorder="1" applyAlignment="1">
      <alignment horizontal="right"/>
    </xf>
    <xf numFmtId="0" fontId="14" fillId="0" borderId="12" xfId="0" applyNumberFormat="1" applyFont="1" applyFill="1" applyBorder="1"/>
    <xf numFmtId="0" fontId="12" fillId="0" borderId="43" xfId="0" applyNumberFormat="1" applyFont="1" applyFill="1" applyBorder="1" applyAlignment="1">
      <alignment horizontal="center"/>
    </xf>
    <xf numFmtId="0" fontId="14" fillId="0" borderId="43" xfId="0" applyNumberFormat="1" applyFont="1" applyFill="1" applyBorder="1" applyAlignment="1">
      <alignment horizontal="center"/>
    </xf>
    <xf numFmtId="183" fontId="14" fillId="0" borderId="43" xfId="1" applyNumberFormat="1" applyFont="1" applyFill="1" applyBorder="1" applyAlignment="1">
      <alignment horizontal="center"/>
    </xf>
    <xf numFmtId="0" fontId="17" fillId="0" borderId="43" xfId="0" applyNumberFormat="1" applyFont="1" applyFill="1" applyBorder="1" applyAlignment="1">
      <alignment horizontal="center"/>
    </xf>
    <xf numFmtId="0" fontId="17" fillId="0" borderId="6" xfId="0" applyNumberFormat="1" applyFont="1" applyFill="1" applyBorder="1" applyAlignment="1">
      <alignment horizontal="center"/>
    </xf>
    <xf numFmtId="0" fontId="14" fillId="0" borderId="6" xfId="0" applyNumberFormat="1" applyFont="1" applyBorder="1" applyAlignment="1">
      <alignment horizontal="center"/>
    </xf>
    <xf numFmtId="0" fontId="14" fillId="0" borderId="75" xfId="0" applyNumberFormat="1" applyFont="1" applyBorder="1" applyAlignment="1">
      <alignment horizontal="center"/>
    </xf>
    <xf numFmtId="183" fontId="14" fillId="0" borderId="42" xfId="1" applyNumberFormat="1" applyFont="1" applyFill="1" applyBorder="1" applyAlignment="1">
      <alignment horizontal="center"/>
    </xf>
    <xf numFmtId="0" fontId="17" fillId="0" borderId="42" xfId="0" applyNumberFormat="1" applyFont="1" applyFill="1" applyBorder="1" applyAlignment="1">
      <alignment horizontal="center"/>
    </xf>
    <xf numFmtId="0" fontId="17" fillId="0" borderId="0" xfId="0" applyNumberFormat="1" applyFont="1" applyFill="1" applyBorder="1" applyAlignment="1">
      <alignment horizontal="center"/>
    </xf>
    <xf numFmtId="0" fontId="14" fillId="0" borderId="0" xfId="0" applyNumberFormat="1" applyFont="1" applyBorder="1" applyAlignment="1">
      <alignment horizontal="center"/>
    </xf>
    <xf numFmtId="0" fontId="17" fillId="0" borderId="3" xfId="0" applyNumberFormat="1" applyFont="1" applyFill="1" applyBorder="1"/>
    <xf numFmtId="0" fontId="12" fillId="0" borderId="76" xfId="0" applyNumberFormat="1" applyFont="1" applyBorder="1"/>
    <xf numFmtId="0" fontId="12" fillId="0" borderId="42" xfId="0" applyNumberFormat="1" applyFont="1" applyFill="1" applyBorder="1"/>
    <xf numFmtId="0" fontId="14" fillId="0" borderId="80" xfId="0" applyFont="1" applyFill="1" applyBorder="1" applyAlignment="1">
      <alignment horizontal="center" vertical="center" wrapText="1"/>
    </xf>
    <xf numFmtId="0" fontId="14" fillId="0" borderId="6" xfId="1" applyNumberFormat="1" applyFont="1" applyFill="1" applyBorder="1" applyAlignment="1">
      <alignment horizontal="center"/>
    </xf>
    <xf numFmtId="182" fontId="14" fillId="0" borderId="66" xfId="0" applyNumberFormat="1" applyFont="1" applyFill="1" applyBorder="1" applyAlignment="1">
      <alignment horizontal="center"/>
    </xf>
    <xf numFmtId="182" fontId="14" fillId="0" borderId="12" xfId="0" applyNumberFormat="1" applyFont="1" applyFill="1" applyBorder="1" applyAlignment="1">
      <alignment horizontal="center"/>
    </xf>
    <xf numFmtId="182" fontId="14" fillId="0" borderId="7" xfId="0" applyNumberFormat="1" applyFont="1" applyFill="1" applyBorder="1" applyAlignment="1">
      <alignment horizontal="center"/>
    </xf>
    <xf numFmtId="0" fontId="14" fillId="0" borderId="0" xfId="1" applyNumberFormat="1" applyFont="1" applyFill="1" applyBorder="1" applyAlignment="1">
      <alignment horizontal="center"/>
    </xf>
    <xf numFmtId="182" fontId="14" fillId="0" borderId="42" xfId="0" applyNumberFormat="1" applyFont="1" applyFill="1" applyBorder="1" applyAlignment="1">
      <alignment horizontal="center"/>
    </xf>
    <xf numFmtId="182" fontId="14" fillId="0" borderId="67" xfId="0" applyNumberFormat="1" applyFont="1" applyFill="1" applyBorder="1" applyAlignment="1">
      <alignment horizontal="center"/>
    </xf>
    <xf numFmtId="182" fontId="14" fillId="0" borderId="3" xfId="0" applyNumberFormat="1" applyFont="1" applyFill="1" applyBorder="1" applyAlignment="1">
      <alignment horizontal="center"/>
    </xf>
    <xf numFmtId="182" fontId="14" fillId="0" borderId="8" xfId="0" applyNumberFormat="1" applyFont="1" applyFill="1" applyBorder="1" applyAlignment="1">
      <alignment horizontal="center"/>
    </xf>
    <xf numFmtId="0" fontId="14" fillId="0" borderId="3" xfId="0" applyNumberFormat="1" applyFont="1" applyFill="1" applyBorder="1" applyAlignment="1">
      <alignment horizontal="left" indent="1"/>
    </xf>
    <xf numFmtId="0" fontId="12" fillId="0" borderId="42" xfId="0" applyFont="1" applyBorder="1"/>
    <xf numFmtId="184" fontId="12" fillId="0" borderId="42" xfId="1" applyNumberFormat="1" applyFont="1" applyFill="1" applyBorder="1" applyAlignment="1"/>
    <xf numFmtId="0" fontId="18" fillId="0" borderId="6" xfId="0" applyFont="1" applyBorder="1"/>
    <xf numFmtId="0" fontId="14" fillId="0" borderId="45" xfId="0" applyFont="1" applyFill="1" applyBorder="1" applyAlignment="1">
      <alignment horizontal="center" vertical="center"/>
    </xf>
    <xf numFmtId="182" fontId="14" fillId="0" borderId="42" xfId="0" applyNumberFormat="1" applyFont="1" applyBorder="1" applyAlignment="1">
      <alignment horizontal="right"/>
    </xf>
    <xf numFmtId="182" fontId="14" fillId="0" borderId="8" xfId="0" applyNumberFormat="1" applyFont="1" applyBorder="1" applyAlignment="1">
      <alignment horizontal="right"/>
    </xf>
    <xf numFmtId="182" fontId="14" fillId="0" borderId="3" xfId="0" applyNumberFormat="1" applyFont="1" applyBorder="1" applyAlignment="1">
      <alignment horizontal="right"/>
    </xf>
    <xf numFmtId="182" fontId="14" fillId="0" borderId="0" xfId="0" applyNumberFormat="1" applyFont="1" applyBorder="1" applyAlignment="1">
      <alignment horizontal="right"/>
    </xf>
    <xf numFmtId="182" fontId="14" fillId="0" borderId="47" xfId="0" applyNumberFormat="1" applyFont="1" applyBorder="1" applyAlignment="1">
      <alignment horizontal="right"/>
    </xf>
    <xf numFmtId="0" fontId="14" fillId="0" borderId="42" xfId="0" applyFont="1" applyBorder="1" applyAlignment="1">
      <alignment horizontal="center"/>
    </xf>
    <xf numFmtId="182" fontId="14" fillId="0" borderId="3" xfId="1" applyNumberFormat="1" applyFont="1" applyBorder="1" applyAlignment="1">
      <alignment horizontal="right"/>
    </xf>
    <xf numFmtId="182" fontId="14" fillId="0" borderId="8" xfId="1" applyNumberFormat="1" applyFont="1" applyBorder="1" applyAlignment="1">
      <alignment horizontal="right"/>
    </xf>
    <xf numFmtId="0" fontId="14" fillId="0" borderId="43" xfId="0" applyFont="1" applyFill="1" applyBorder="1" applyAlignment="1">
      <alignment horizontal="center" vertical="center"/>
    </xf>
    <xf numFmtId="49" fontId="14" fillId="0" borderId="45" xfId="0" applyNumberFormat="1" applyFont="1" applyFill="1" applyBorder="1" applyAlignment="1">
      <alignment horizontal="center" vertical="center" wrapText="1"/>
    </xf>
    <xf numFmtId="0" fontId="14" fillId="0" borderId="36" xfId="0" applyFont="1" applyFill="1" applyBorder="1" applyAlignment="1">
      <alignment horizontal="center" vertical="center"/>
    </xf>
    <xf numFmtId="0" fontId="14" fillId="0" borderId="37" xfId="0" applyFont="1" applyFill="1" applyBorder="1" applyAlignment="1">
      <alignment horizontal="center" vertical="center" wrapText="1"/>
    </xf>
    <xf numFmtId="0" fontId="14" fillId="0" borderId="64" xfId="0" applyFont="1" applyFill="1" applyBorder="1" applyAlignment="1">
      <alignment horizontal="center" vertical="center" wrapText="1"/>
    </xf>
    <xf numFmtId="172" fontId="12" fillId="0" borderId="2" xfId="1" applyNumberFormat="1" applyFont="1" applyBorder="1"/>
    <xf numFmtId="0" fontId="14" fillId="0" borderId="36" xfId="0" applyFont="1" applyFill="1" applyBorder="1" applyAlignment="1">
      <alignment vertical="center"/>
    </xf>
    <xf numFmtId="0" fontId="14" fillId="0" borderId="64" xfId="0" applyFont="1" applyFill="1" applyBorder="1" applyAlignment="1"/>
    <xf numFmtId="49" fontId="14" fillId="0" borderId="64" xfId="0" applyNumberFormat="1" applyFont="1" applyFill="1" applyBorder="1" applyAlignment="1">
      <alignment vertical="center" wrapText="1"/>
    </xf>
    <xf numFmtId="182" fontId="14" fillId="0" borderId="76" xfId="0" applyNumberFormat="1" applyFont="1" applyBorder="1" applyAlignment="1">
      <alignment horizontal="center"/>
    </xf>
    <xf numFmtId="0" fontId="12" fillId="0" borderId="76" xfId="0" quotePrefix="1" applyNumberFormat="1" applyFont="1" applyBorder="1" applyAlignment="1">
      <alignment horizontal="center"/>
    </xf>
    <xf numFmtId="0" fontId="5" fillId="2" borderId="9" xfId="0" applyFont="1" applyFill="1" applyBorder="1" applyAlignment="1">
      <alignment horizontal="center" vertical="center"/>
    </xf>
    <xf numFmtId="49" fontId="14" fillId="0" borderId="45" xfId="0" applyNumberFormat="1" applyFont="1" applyFill="1" applyBorder="1" applyAlignment="1">
      <alignment vertical="center" wrapText="1"/>
    </xf>
    <xf numFmtId="0" fontId="14" fillId="0" borderId="75" xfId="0" applyFont="1" applyFill="1" applyBorder="1" applyAlignment="1">
      <alignment vertical="center"/>
    </xf>
    <xf numFmtId="0" fontId="14" fillId="0" borderId="77" xfId="0" applyFont="1" applyFill="1" applyBorder="1" applyAlignment="1">
      <alignment vertical="center"/>
    </xf>
    <xf numFmtId="0" fontId="14" fillId="0" borderId="93" xfId="0" applyFont="1" applyFill="1" applyBorder="1" applyAlignment="1">
      <alignment horizontal="center" vertical="center" wrapText="1"/>
    </xf>
    <xf numFmtId="0" fontId="14" fillId="0" borderId="10" xfId="0" quotePrefix="1" applyFont="1" applyFill="1" applyBorder="1" applyAlignment="1">
      <alignment horizontal="center" vertical="center" wrapText="1"/>
    </xf>
    <xf numFmtId="49" fontId="14" fillId="0" borderId="11" xfId="0" applyNumberFormat="1" applyFont="1" applyFill="1" applyBorder="1" applyAlignment="1">
      <alignment vertical="center" wrapText="1"/>
    </xf>
    <xf numFmtId="0" fontId="14" fillId="0" borderId="11" xfId="0" applyFont="1" applyFill="1" applyBorder="1" applyAlignment="1">
      <alignment horizontal="center" vertical="center"/>
    </xf>
    <xf numFmtId="0" fontId="14" fillId="0" borderId="5" xfId="0" applyFont="1" applyFill="1" applyBorder="1" applyAlignment="1">
      <alignment horizontal="center" vertical="center" wrapText="1"/>
    </xf>
    <xf numFmtId="0" fontId="14" fillId="0" borderId="52" xfId="0" applyFont="1" applyFill="1" applyBorder="1" applyAlignment="1">
      <alignment horizontal="center" vertical="top" wrapText="1"/>
    </xf>
    <xf numFmtId="0" fontId="14" fillId="0" borderId="53" xfId="0" applyFont="1" applyFill="1" applyBorder="1" applyAlignment="1">
      <alignment horizontal="center" vertical="top" wrapText="1"/>
    </xf>
    <xf numFmtId="0" fontId="14" fillId="0" borderId="55" xfId="0" applyFont="1" applyFill="1" applyBorder="1" applyAlignment="1">
      <alignment horizontal="center" vertical="top" wrapText="1"/>
    </xf>
    <xf numFmtId="0" fontId="14" fillId="0" borderId="54" xfId="0" applyFont="1" applyFill="1" applyBorder="1" applyAlignment="1">
      <alignment horizontal="center" vertical="center" wrapText="1"/>
    </xf>
    <xf numFmtId="0" fontId="13" fillId="7" borderId="12" xfId="0" applyFont="1" applyFill="1" applyBorder="1"/>
    <xf numFmtId="0" fontId="13" fillId="7" borderId="6" xfId="0" applyFont="1" applyFill="1" applyBorder="1" applyAlignment="1">
      <alignment horizontal="left"/>
    </xf>
    <xf numFmtId="180" fontId="2" fillId="0" borderId="6" xfId="0" applyNumberFormat="1" applyFont="1" applyBorder="1"/>
    <xf numFmtId="180" fontId="2" fillId="0" borderId="0" xfId="0" applyNumberFormat="1" applyFont="1" applyBorder="1"/>
    <xf numFmtId="180" fontId="5" fillId="0" borderId="0" xfId="0" applyNumberFormat="1" applyFont="1" applyBorder="1"/>
    <xf numFmtId="180" fontId="4" fillId="0" borderId="94" xfId="0" applyNumberFormat="1" applyFont="1" applyBorder="1"/>
    <xf numFmtId="180" fontId="4" fillId="0" borderId="95" xfId="0" applyNumberFormat="1" applyFont="1" applyBorder="1"/>
    <xf numFmtId="180" fontId="2" fillId="0" borderId="94" xfId="0" applyNumberFormat="1" applyFont="1" applyBorder="1"/>
    <xf numFmtId="180" fontId="2" fillId="0" borderId="95" xfId="0" applyNumberFormat="1" applyFont="1" applyBorder="1"/>
    <xf numFmtId="180" fontId="4" fillId="0" borderId="0" xfId="0" applyNumberFormat="1" applyFont="1" applyBorder="1"/>
    <xf numFmtId="180" fontId="5" fillId="0" borderId="35" xfId="0" applyNumberFormat="1" applyFont="1" applyBorder="1"/>
    <xf numFmtId="180" fontId="5" fillId="0" borderId="94" xfId="0" applyNumberFormat="1" applyFont="1" applyBorder="1"/>
    <xf numFmtId="180" fontId="5" fillId="0" borderId="95" xfId="0" applyNumberFormat="1" applyFont="1" applyBorder="1"/>
    <xf numFmtId="180" fontId="2" fillId="0" borderId="96" xfId="0" applyNumberFormat="1" applyFont="1" applyBorder="1"/>
    <xf numFmtId="0" fontId="21" fillId="0" borderId="0" xfId="0" applyFont="1"/>
    <xf numFmtId="182" fontId="12" fillId="0" borderId="36" xfId="1" applyNumberFormat="1" applyFont="1" applyBorder="1"/>
    <xf numFmtId="182" fontId="14" fillId="0" borderId="9" xfId="0" applyNumberFormat="1" applyFont="1" applyFill="1" applyBorder="1"/>
    <xf numFmtId="182" fontId="17" fillId="0" borderId="46" xfId="0" applyNumberFormat="1" applyFont="1" applyFill="1" applyBorder="1"/>
    <xf numFmtId="182" fontId="17" fillId="0" borderId="49" xfId="0" applyNumberFormat="1" applyFont="1" applyFill="1" applyBorder="1"/>
    <xf numFmtId="182" fontId="17" fillId="0" borderId="50" xfId="0" applyNumberFormat="1" applyFont="1" applyFill="1" applyBorder="1"/>
    <xf numFmtId="182" fontId="17" fillId="0" borderId="48" xfId="0" applyNumberFormat="1" applyFont="1" applyFill="1" applyBorder="1"/>
    <xf numFmtId="182" fontId="17" fillId="0" borderId="51" xfId="0" applyNumberFormat="1" applyFont="1" applyFill="1" applyBorder="1"/>
    <xf numFmtId="172" fontId="17" fillId="0" borderId="0" xfId="1" applyNumberFormat="1" applyFont="1" applyFill="1" applyBorder="1" applyAlignment="1">
      <alignment horizontal="right"/>
    </xf>
    <xf numFmtId="0" fontId="13" fillId="7" borderId="11" xfId="0" applyFont="1" applyFill="1" applyBorder="1" applyAlignment="1">
      <alignment horizontal="left"/>
    </xf>
    <xf numFmtId="0" fontId="13" fillId="7" borderId="12" xfId="0" applyFont="1" applyFill="1" applyBorder="1" applyAlignment="1">
      <alignment horizontal="left"/>
    </xf>
    <xf numFmtId="16" fontId="2" fillId="0" borderId="1" xfId="0" quotePrefix="1" applyNumberFormat="1" applyFont="1" applyBorder="1" applyAlignment="1">
      <alignment horizontal="center"/>
    </xf>
    <xf numFmtId="0" fontId="2" fillId="0" borderId="1" xfId="0" quotePrefix="1" applyFont="1" applyBorder="1" applyAlignment="1">
      <alignment horizontal="center"/>
    </xf>
    <xf numFmtId="0" fontId="13" fillId="8" borderId="17" xfId="0" applyFont="1" applyFill="1" applyBorder="1" applyAlignment="1">
      <alignment horizontal="left"/>
    </xf>
    <xf numFmtId="0" fontId="5" fillId="8" borderId="35" xfId="0" applyFont="1" applyFill="1" applyBorder="1"/>
    <xf numFmtId="180" fontId="22" fillId="0" borderId="11" xfId="0" applyNumberFormat="1" applyFont="1" applyBorder="1"/>
    <xf numFmtId="0" fontId="12" fillId="0" borderId="0" xfId="0" applyFont="1" applyBorder="1" applyAlignment="1" applyProtection="1">
      <alignment horizontal="center"/>
      <protection locked="0"/>
    </xf>
    <xf numFmtId="0" fontId="17" fillId="0" borderId="0" xfId="0" applyFont="1" applyFill="1" applyBorder="1" applyProtection="1">
      <protection locked="0"/>
    </xf>
    <xf numFmtId="176" fontId="14" fillId="0" borderId="0" xfId="0" applyNumberFormat="1" applyFont="1" applyFill="1" applyBorder="1" applyProtection="1">
      <protection locked="0"/>
    </xf>
    <xf numFmtId="0" fontId="14" fillId="0" borderId="0" xfId="0" applyFont="1" applyBorder="1" applyProtection="1">
      <protection locked="0"/>
    </xf>
    <xf numFmtId="176" fontId="14" fillId="0" borderId="0" xfId="0" applyNumberFormat="1" applyFont="1" applyBorder="1" applyProtection="1">
      <protection locked="0"/>
    </xf>
    <xf numFmtId="0" fontId="17" fillId="0" borderId="0" xfId="0" applyFont="1" applyBorder="1" applyAlignment="1" applyProtection="1">
      <alignment horizontal="center"/>
      <protection locked="0"/>
    </xf>
    <xf numFmtId="0" fontId="17" fillId="0" borderId="0" xfId="0" applyFont="1" applyBorder="1" applyAlignment="1" applyProtection="1">
      <alignment horizontal="right"/>
      <protection locked="0"/>
    </xf>
    <xf numFmtId="172" fontId="12" fillId="0" borderId="0" xfId="1" applyNumberFormat="1" applyFont="1" applyProtection="1">
      <protection locked="0"/>
    </xf>
    <xf numFmtId="0" fontId="12" fillId="0" borderId="42" xfId="0" applyNumberFormat="1" applyFont="1" applyBorder="1" applyAlignment="1" applyProtection="1">
      <alignment horizontal="center"/>
      <protection locked="0"/>
    </xf>
    <xf numFmtId="0" fontId="12" fillId="0" borderId="53" xfId="0" applyNumberFormat="1" applyFont="1" applyBorder="1" applyAlignment="1" applyProtection="1">
      <alignment horizontal="center"/>
      <protection locked="0"/>
    </xf>
    <xf numFmtId="0" fontId="12" fillId="0" borderId="0" xfId="0" applyFont="1" applyAlignment="1" applyProtection="1">
      <alignment horizontal="center"/>
      <protection locked="0"/>
    </xf>
    <xf numFmtId="182" fontId="12" fillId="9" borderId="42" xfId="0" applyNumberFormat="1" applyFont="1" applyFill="1" applyBorder="1" applyAlignment="1" applyProtection="1">
      <alignment horizontal="right"/>
      <protection locked="0"/>
    </xf>
    <xf numFmtId="182" fontId="12" fillId="9" borderId="8" xfId="0" applyNumberFormat="1" applyFont="1" applyFill="1" applyBorder="1" applyAlignment="1" applyProtection="1">
      <alignment horizontal="right"/>
      <protection locked="0"/>
    </xf>
    <xf numFmtId="182" fontId="12" fillId="9" borderId="3" xfId="0" applyNumberFormat="1" applyFont="1" applyFill="1" applyBorder="1" applyAlignment="1" applyProtection="1">
      <alignment horizontal="right"/>
      <protection locked="0"/>
    </xf>
    <xf numFmtId="182" fontId="12" fillId="9" borderId="0" xfId="0" applyNumberFormat="1" applyFont="1" applyFill="1" applyBorder="1" applyAlignment="1" applyProtection="1">
      <alignment horizontal="right"/>
      <protection locked="0"/>
    </xf>
    <xf numFmtId="182" fontId="12" fillId="9" borderId="42" xfId="0" applyNumberFormat="1" applyFont="1" applyFill="1" applyBorder="1" applyProtection="1">
      <protection locked="0"/>
    </xf>
    <xf numFmtId="182" fontId="12" fillId="9" borderId="8" xfId="0" applyNumberFormat="1" applyFont="1" applyFill="1" applyBorder="1" applyProtection="1">
      <protection locked="0"/>
    </xf>
    <xf numFmtId="182" fontId="12" fillId="9" borderId="3" xfId="0" applyNumberFormat="1" applyFont="1" applyFill="1" applyBorder="1" applyProtection="1">
      <protection locked="0"/>
    </xf>
    <xf numFmtId="182" fontId="12" fillId="9" borderId="0" xfId="0" applyNumberFormat="1" applyFont="1" applyFill="1" applyBorder="1" applyProtection="1">
      <protection locked="0"/>
    </xf>
    <xf numFmtId="0" fontId="14" fillId="0" borderId="42" xfId="0" applyNumberFormat="1" applyFont="1" applyBorder="1" applyAlignment="1" applyProtection="1">
      <alignment horizontal="center"/>
      <protection locked="0"/>
    </xf>
    <xf numFmtId="176" fontId="15" fillId="0" borderId="0" xfId="0" applyNumberFormat="1" applyFont="1" applyBorder="1" applyProtection="1">
      <protection locked="0"/>
    </xf>
    <xf numFmtId="0" fontId="17" fillId="0" borderId="0" xfId="0" applyNumberFormat="1" applyFont="1" applyBorder="1" applyProtection="1">
      <protection locked="0"/>
    </xf>
    <xf numFmtId="0" fontId="12" fillId="0" borderId="0" xfId="0" applyFont="1" applyBorder="1" applyAlignment="1" applyProtection="1">
      <protection locked="0"/>
    </xf>
    <xf numFmtId="0" fontId="12" fillId="0" borderId="0" xfId="0" applyFont="1" applyBorder="1" applyProtection="1">
      <protection locked="0"/>
    </xf>
    <xf numFmtId="0" fontId="12" fillId="0" borderId="0" xfId="0" applyFont="1" applyFill="1" applyBorder="1" applyProtection="1">
      <protection locked="0"/>
    </xf>
    <xf numFmtId="182" fontId="12" fillId="0" borderId="42" xfId="0" applyNumberFormat="1" applyFont="1" applyFill="1" applyBorder="1" applyProtection="1"/>
    <xf numFmtId="182" fontId="12" fillId="0" borderId="8" xfId="0" applyNumberFormat="1" applyFont="1" applyFill="1" applyBorder="1" applyProtection="1"/>
    <xf numFmtId="182" fontId="12" fillId="0" borderId="3" xfId="0" applyNumberFormat="1" applyFont="1" applyFill="1" applyBorder="1" applyProtection="1"/>
    <xf numFmtId="182" fontId="12" fillId="0" borderId="0" xfId="0" applyNumberFormat="1" applyFont="1" applyFill="1" applyBorder="1" applyProtection="1"/>
    <xf numFmtId="182" fontId="12" fillId="0" borderId="47" xfId="0" applyNumberFormat="1" applyFont="1" applyFill="1" applyBorder="1" applyProtection="1"/>
    <xf numFmtId="0" fontId="19" fillId="0" borderId="0" xfId="0" applyFont="1" applyBorder="1" applyProtection="1">
      <protection locked="0"/>
    </xf>
    <xf numFmtId="182" fontId="12" fillId="0" borderId="1" xfId="0" applyNumberFormat="1" applyFont="1" applyFill="1" applyBorder="1"/>
    <xf numFmtId="182" fontId="12" fillId="0" borderId="42" xfId="0" applyNumberFormat="1" applyFont="1" applyFill="1" applyBorder="1" applyAlignment="1" applyProtection="1"/>
    <xf numFmtId="182" fontId="12" fillId="0" borderId="8" xfId="0" applyNumberFormat="1" applyFont="1" applyFill="1" applyBorder="1" applyAlignment="1" applyProtection="1"/>
    <xf numFmtId="182" fontId="12" fillId="0" borderId="3" xfId="0" applyNumberFormat="1" applyFont="1" applyFill="1" applyBorder="1" applyAlignment="1" applyProtection="1"/>
    <xf numFmtId="182" fontId="12" fillId="0" borderId="0" xfId="0" applyNumberFormat="1" applyFont="1" applyFill="1" applyBorder="1" applyAlignment="1" applyProtection="1"/>
    <xf numFmtId="182" fontId="12" fillId="0" borderId="47" xfId="0" applyNumberFormat="1" applyFont="1" applyFill="1" applyBorder="1" applyAlignment="1" applyProtection="1"/>
    <xf numFmtId="0" fontId="12" fillId="0" borderId="0" xfId="0" applyNumberFormat="1" applyFont="1" applyBorder="1" applyAlignment="1" applyProtection="1">
      <alignment horizontal="center"/>
      <protection locked="0"/>
    </xf>
    <xf numFmtId="10" fontId="12" fillId="0" borderId="0" xfId="0" applyNumberFormat="1" applyFont="1" applyProtection="1">
      <protection locked="0"/>
    </xf>
    <xf numFmtId="0" fontId="17" fillId="0" borderId="0" xfId="5" applyFont="1" applyAlignment="1" applyProtection="1">
      <alignment horizontal="center"/>
      <protection locked="0"/>
    </xf>
    <xf numFmtId="0" fontId="17" fillId="0" borderId="0" xfId="0" applyFont="1" applyProtection="1">
      <protection locked="0"/>
    </xf>
    <xf numFmtId="176" fontId="12" fillId="0" borderId="0" xfId="0" applyNumberFormat="1" applyFont="1" applyBorder="1" applyProtection="1">
      <protection locked="0"/>
    </xf>
    <xf numFmtId="43" fontId="12" fillId="0" borderId="0" xfId="1" applyFont="1" applyBorder="1" applyProtection="1">
      <protection locked="0"/>
    </xf>
    <xf numFmtId="0" fontId="17" fillId="0" borderId="0" xfId="0" applyFont="1" applyAlignment="1" applyProtection="1">
      <alignment horizontal="center"/>
      <protection locked="0"/>
    </xf>
    <xf numFmtId="0" fontId="17" fillId="0" borderId="0" xfId="0" applyNumberFormat="1" applyFont="1" applyProtection="1">
      <protection locked="0"/>
    </xf>
    <xf numFmtId="176" fontId="12" fillId="0" borderId="0" xfId="0" applyNumberFormat="1" applyFont="1" applyFill="1" applyProtection="1">
      <protection locked="0"/>
    </xf>
    <xf numFmtId="0" fontId="19" fillId="0" borderId="0" xfId="0" applyFont="1" applyBorder="1" applyAlignment="1" applyProtection="1">
      <alignment vertical="center" wrapText="1"/>
      <protection locked="0"/>
    </xf>
    <xf numFmtId="0" fontId="19" fillId="0" borderId="0" xfId="0" applyFont="1" applyFill="1" applyBorder="1" applyAlignment="1" applyProtection="1">
      <alignment horizontal="center" vertical="center" wrapText="1"/>
      <protection locked="0"/>
    </xf>
    <xf numFmtId="0" fontId="12" fillId="0" borderId="0" xfId="0" applyFont="1" applyFill="1" applyProtection="1">
      <protection locked="0"/>
    </xf>
    <xf numFmtId="0" fontId="19" fillId="0" borderId="0" xfId="0" applyFont="1" applyFill="1" applyBorder="1" applyAlignment="1" applyProtection="1">
      <alignment vertical="center" wrapText="1"/>
      <protection locked="0"/>
    </xf>
    <xf numFmtId="0" fontId="17" fillId="0" borderId="0" xfId="0" applyFont="1" applyBorder="1" applyAlignment="1" applyProtection="1">
      <alignment horizontal="left" vertical="top"/>
      <protection locked="0"/>
    </xf>
    <xf numFmtId="0" fontId="12" fillId="0" borderId="42" xfId="0" applyNumberFormat="1" applyFont="1" applyFill="1" applyBorder="1" applyAlignment="1" applyProtection="1">
      <alignment horizontal="center"/>
      <protection locked="0"/>
    </xf>
    <xf numFmtId="0" fontId="14" fillId="0" borderId="42" xfId="0" applyNumberFormat="1" applyFont="1" applyFill="1" applyBorder="1" applyAlignment="1" applyProtection="1">
      <alignment horizontal="center"/>
      <protection locked="0"/>
    </xf>
    <xf numFmtId="183" fontId="14" fillId="0" borderId="42" xfId="1" applyNumberFormat="1" applyFont="1" applyFill="1" applyBorder="1" applyAlignment="1" applyProtection="1">
      <alignment horizontal="center"/>
      <protection locked="0"/>
    </xf>
    <xf numFmtId="182" fontId="14" fillId="0" borderId="47" xfId="0" applyNumberFormat="1" applyFont="1" applyBorder="1" applyAlignment="1" applyProtection="1">
      <alignment horizontal="center"/>
      <protection locked="0"/>
    </xf>
    <xf numFmtId="182" fontId="14" fillId="0" borderId="42" xfId="0" applyNumberFormat="1" applyFont="1" applyBorder="1" applyAlignment="1" applyProtection="1">
      <alignment horizontal="center"/>
      <protection locked="0"/>
    </xf>
    <xf numFmtId="182" fontId="14" fillId="0" borderId="0" xfId="0" applyNumberFormat="1" applyFont="1" applyBorder="1" applyAlignment="1" applyProtection="1">
      <alignment horizontal="center"/>
      <protection locked="0"/>
    </xf>
    <xf numFmtId="182" fontId="14" fillId="0" borderId="3" xfId="0" applyNumberFormat="1" applyFont="1" applyBorder="1" applyAlignment="1" applyProtection="1">
      <alignment horizontal="center"/>
      <protection locked="0"/>
    </xf>
    <xf numFmtId="182" fontId="14" fillId="0" borderId="8" xfId="0" applyNumberFormat="1" applyFont="1" applyBorder="1" applyAlignment="1" applyProtection="1">
      <alignment horizontal="center"/>
      <protection locked="0"/>
    </xf>
    <xf numFmtId="0" fontId="14" fillId="0" borderId="0" xfId="0" applyNumberFormat="1" applyFont="1" applyBorder="1" applyAlignment="1" applyProtection="1">
      <alignment horizontal="center"/>
      <protection locked="0"/>
    </xf>
    <xf numFmtId="0" fontId="14" fillId="0" borderId="76" xfId="0" applyNumberFormat="1" applyFont="1" applyBorder="1" applyAlignment="1" applyProtection="1">
      <alignment horizontal="center"/>
      <protection locked="0"/>
    </xf>
    <xf numFmtId="182" fontId="14" fillId="0" borderId="43" xfId="0" applyNumberFormat="1" applyFont="1" applyBorder="1" applyAlignment="1" applyProtection="1">
      <alignment horizontal="center"/>
    </xf>
    <xf numFmtId="0" fontId="14" fillId="0" borderId="68" xfId="0" applyNumberFormat="1" applyFont="1" applyBorder="1"/>
    <xf numFmtId="0" fontId="12" fillId="0" borderId="71" xfId="0" applyNumberFormat="1" applyFont="1" applyBorder="1" applyAlignment="1">
      <alignment horizontal="center"/>
    </xf>
    <xf numFmtId="182" fontId="14" fillId="0" borderId="71" xfId="0" applyNumberFormat="1" applyFont="1" applyBorder="1" applyAlignment="1"/>
    <xf numFmtId="182" fontId="14" fillId="0" borderId="72" xfId="0" applyNumberFormat="1" applyFont="1" applyBorder="1" applyAlignment="1"/>
    <xf numFmtId="182" fontId="14" fillId="0" borderId="68" xfId="0" applyNumberFormat="1" applyFont="1" applyBorder="1" applyAlignment="1"/>
    <xf numFmtId="182" fontId="14" fillId="0" borderId="73" xfId="0" applyNumberFormat="1" applyFont="1" applyBorder="1" applyAlignment="1"/>
    <xf numFmtId="182" fontId="14" fillId="0" borderId="70" xfId="0" applyNumberFormat="1" applyFont="1" applyBorder="1" applyAlignment="1"/>
    <xf numFmtId="182" fontId="14" fillId="0" borderId="63" xfId="0" applyNumberFormat="1" applyFont="1" applyFill="1" applyBorder="1"/>
    <xf numFmtId="182" fontId="14" fillId="0" borderId="10" xfId="0" applyNumberFormat="1" applyFont="1" applyFill="1" applyBorder="1"/>
    <xf numFmtId="182" fontId="14" fillId="0" borderId="4" xfId="0" applyNumberFormat="1" applyFont="1" applyFill="1" applyBorder="1"/>
    <xf numFmtId="182" fontId="12" fillId="0" borderId="46" xfId="0" applyNumberFormat="1" applyFont="1" applyFill="1" applyBorder="1" applyProtection="1"/>
    <xf numFmtId="182" fontId="12" fillId="0" borderId="51" xfId="0" applyNumberFormat="1" applyFont="1" applyFill="1" applyBorder="1" applyProtection="1"/>
    <xf numFmtId="0" fontId="12" fillId="0" borderId="68" xfId="0" applyNumberFormat="1" applyFont="1" applyBorder="1" applyAlignment="1">
      <alignment horizontal="left" vertical="top" wrapText="1" indent="1"/>
    </xf>
    <xf numFmtId="0" fontId="12" fillId="0" borderId="68" xfId="0" applyNumberFormat="1" applyFont="1" applyFill="1" applyBorder="1" applyAlignment="1" applyProtection="1">
      <alignment horizontal="left" vertical="top" wrapText="1" indent="1"/>
    </xf>
    <xf numFmtId="172" fontId="12" fillId="0" borderId="97" xfId="1" applyNumberFormat="1" applyFont="1" applyFill="1" applyBorder="1" applyAlignment="1" applyProtection="1">
      <alignment horizontal="left" vertical="top" wrapText="1"/>
    </xf>
    <xf numFmtId="2" fontId="12" fillId="0" borderId="68" xfId="1" applyNumberFormat="1" applyFont="1" applyFill="1" applyBorder="1" applyAlignment="1" applyProtection="1">
      <alignment horizontal="center" vertical="top" wrapText="1"/>
    </xf>
    <xf numFmtId="2" fontId="12" fillId="0" borderId="71" xfId="1" applyNumberFormat="1" applyFont="1" applyFill="1" applyBorder="1" applyAlignment="1" applyProtection="1">
      <alignment horizontal="center" vertical="top" wrapText="1"/>
    </xf>
    <xf numFmtId="2" fontId="12" fillId="0" borderId="69" xfId="1" applyNumberFormat="1" applyFont="1" applyFill="1" applyBorder="1" applyAlignment="1" applyProtection="1">
      <alignment horizontal="center" vertical="top" wrapText="1"/>
    </xf>
    <xf numFmtId="2" fontId="12" fillId="0" borderId="98" xfId="1" applyNumberFormat="1" applyFont="1" applyFill="1" applyBorder="1" applyAlignment="1" applyProtection="1">
      <alignment horizontal="center" vertical="top" wrapText="1"/>
    </xf>
    <xf numFmtId="2" fontId="12" fillId="0" borderId="73" xfId="1" applyNumberFormat="1" applyFont="1" applyFill="1" applyBorder="1" applyAlignment="1" applyProtection="1">
      <alignment horizontal="center" vertical="top" wrapText="1"/>
    </xf>
    <xf numFmtId="2" fontId="12" fillId="0" borderId="72" xfId="1" applyNumberFormat="1" applyFont="1" applyFill="1" applyBorder="1" applyAlignment="1" applyProtection="1">
      <alignment horizontal="center" vertical="top" wrapText="1"/>
    </xf>
    <xf numFmtId="0" fontId="9" fillId="0" borderId="9" xfId="0" applyFont="1" applyFill="1" applyBorder="1" applyAlignment="1" applyProtection="1">
      <alignment horizontal="left"/>
    </xf>
    <xf numFmtId="0" fontId="7" fillId="0" borderId="0" xfId="0" applyFont="1" applyProtection="1"/>
    <xf numFmtId="0" fontId="14" fillId="0" borderId="41" xfId="0" applyFont="1" applyFill="1" applyBorder="1" applyAlignment="1" applyProtection="1">
      <alignment horizontal="center" vertical="center" wrapText="1"/>
    </xf>
    <xf numFmtId="0" fontId="14" fillId="0" borderId="40" xfId="0" applyFont="1" applyFill="1" applyBorder="1" applyAlignment="1" applyProtection="1">
      <alignment horizontal="center" vertical="center" wrapText="1"/>
    </xf>
    <xf numFmtId="0" fontId="14" fillId="0" borderId="36" xfId="0" applyFont="1" applyFill="1" applyBorder="1" applyAlignment="1" applyProtection="1">
      <alignment horizontal="center" vertical="center" wrapText="1"/>
    </xf>
    <xf numFmtId="0" fontId="14" fillId="0" borderId="10"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wrapText="1"/>
    </xf>
    <xf numFmtId="0" fontId="16" fillId="0" borderId="3" xfId="0" applyNumberFormat="1" applyFont="1" applyBorder="1" applyProtection="1"/>
    <xf numFmtId="0" fontId="12" fillId="0" borderId="42" xfId="0" applyNumberFormat="1" applyFont="1" applyFill="1" applyBorder="1" applyAlignment="1" applyProtection="1">
      <alignment horizontal="center"/>
    </xf>
    <xf numFmtId="182" fontId="14" fillId="0" borderId="42" xfId="0" applyNumberFormat="1" applyFont="1" applyFill="1" applyBorder="1" applyProtection="1"/>
    <xf numFmtId="182" fontId="14" fillId="0" borderId="8" xfId="0" applyNumberFormat="1" applyFont="1" applyFill="1" applyBorder="1" applyProtection="1"/>
    <xf numFmtId="182" fontId="14" fillId="0" borderId="3" xfId="0" applyNumberFormat="1" applyFont="1" applyFill="1" applyBorder="1" applyProtection="1"/>
    <xf numFmtId="182" fontId="14" fillId="0" borderId="0" xfId="0" applyNumberFormat="1" applyFont="1" applyFill="1" applyBorder="1" applyProtection="1"/>
    <xf numFmtId="182" fontId="14" fillId="0" borderId="47" xfId="0" applyNumberFormat="1" applyFont="1" applyFill="1" applyBorder="1" applyProtection="1"/>
    <xf numFmtId="0" fontId="20" fillId="0" borderId="3" xfId="0" applyNumberFormat="1" applyFont="1" applyBorder="1" applyAlignment="1" applyProtection="1">
      <alignment horizontal="left"/>
    </xf>
    <xf numFmtId="0" fontId="12" fillId="0" borderId="3" xfId="0" applyNumberFormat="1" applyFont="1" applyBorder="1" applyAlignment="1" applyProtection="1">
      <alignment horizontal="left" indent="1"/>
    </xf>
    <xf numFmtId="0" fontId="14" fillId="0" borderId="3" xfId="0" applyNumberFormat="1" applyFont="1" applyBorder="1" applyAlignment="1" applyProtection="1">
      <alignment horizontal="left"/>
    </xf>
    <xf numFmtId="182" fontId="14" fillId="0" borderId="46" xfId="0" applyNumberFormat="1" applyFont="1" applyFill="1" applyBorder="1" applyProtection="1"/>
    <xf numFmtId="182" fontId="14" fillId="0" borderId="51" xfId="0" applyNumberFormat="1" applyFont="1" applyFill="1" applyBorder="1" applyProtection="1"/>
    <xf numFmtId="0" fontId="12" fillId="0" borderId="68" xfId="0" applyNumberFormat="1" applyFont="1" applyBorder="1" applyProtection="1"/>
    <xf numFmtId="0" fontId="12" fillId="0" borderId="71" xfId="0" applyNumberFormat="1" applyFont="1" applyFill="1" applyBorder="1" applyAlignment="1" applyProtection="1">
      <alignment horizontal="center"/>
    </xf>
    <xf numFmtId="182" fontId="12" fillId="0" borderId="71" xfId="0" applyNumberFormat="1" applyFont="1" applyFill="1" applyBorder="1" applyProtection="1"/>
    <xf numFmtId="182" fontId="12" fillId="0" borderId="72" xfId="0" applyNumberFormat="1" applyFont="1" applyFill="1" applyBorder="1" applyProtection="1"/>
    <xf numFmtId="182" fontId="12" fillId="0" borderId="68" xfId="0" applyNumberFormat="1" applyFont="1" applyFill="1" applyBorder="1" applyProtection="1"/>
    <xf numFmtId="182" fontId="12" fillId="0" borderId="73" xfId="0" applyNumberFormat="1" applyFont="1" applyFill="1" applyBorder="1" applyProtection="1"/>
    <xf numFmtId="182" fontId="12" fillId="0" borderId="70" xfId="0" applyNumberFormat="1" applyFont="1" applyFill="1" applyBorder="1" applyProtection="1"/>
    <xf numFmtId="182" fontId="12" fillId="0" borderId="79" xfId="0" applyNumberFormat="1" applyFont="1" applyFill="1" applyBorder="1" applyProtection="1"/>
    <xf numFmtId="0" fontId="12" fillId="0" borderId="68" xfId="0" applyNumberFormat="1" applyFont="1" applyBorder="1" applyAlignment="1" applyProtection="1">
      <alignment horizontal="left" indent="1"/>
    </xf>
    <xf numFmtId="0" fontId="12" fillId="0" borderId="3" xfId="0" applyNumberFormat="1" applyFont="1" applyBorder="1" applyProtection="1"/>
    <xf numFmtId="182" fontId="12" fillId="0" borderId="76" xfId="0" applyNumberFormat="1" applyFont="1" applyFill="1" applyBorder="1" applyProtection="1"/>
    <xf numFmtId="0" fontId="12" fillId="0" borderId="36" xfId="0" applyNumberFormat="1" applyFont="1" applyFill="1" applyBorder="1" applyAlignment="1" applyProtection="1">
      <alignment horizontal="center"/>
    </xf>
    <xf numFmtId="182" fontId="14" fillId="0" borderId="53" xfId="0" applyNumberFormat="1" applyFont="1" applyFill="1" applyBorder="1" applyProtection="1"/>
    <xf numFmtId="182" fontId="14" fillId="0" borderId="55" xfId="0" applyNumberFormat="1" applyFont="1" applyFill="1" applyBorder="1" applyProtection="1"/>
    <xf numFmtId="182" fontId="14" fillId="0" borderId="52" xfId="0" applyNumberFormat="1" applyFont="1" applyFill="1" applyBorder="1" applyProtection="1"/>
    <xf numFmtId="182" fontId="14" fillId="0" borderId="54" xfId="0" applyNumberFormat="1" applyFont="1" applyFill="1" applyBorder="1" applyProtection="1"/>
    <xf numFmtId="182" fontId="14" fillId="0" borderId="56" xfId="0" applyNumberFormat="1" applyFont="1" applyFill="1" applyBorder="1" applyProtection="1"/>
    <xf numFmtId="0" fontId="18" fillId="0" borderId="0" xfId="0" applyFont="1" applyProtection="1"/>
    <xf numFmtId="0" fontId="17" fillId="0" borderId="0" xfId="0" applyFont="1" applyFill="1" applyBorder="1" applyProtection="1"/>
    <xf numFmtId="0" fontId="12" fillId="0" borderId="0" xfId="0" applyFont="1" applyFill="1" applyBorder="1" applyProtection="1"/>
    <xf numFmtId="0" fontId="14" fillId="0" borderId="5" xfId="0" applyFont="1" applyFill="1" applyBorder="1" applyAlignment="1">
      <alignment horizontal="left" vertical="center"/>
    </xf>
    <xf numFmtId="0" fontId="14" fillId="0" borderId="1" xfId="0" applyNumberFormat="1" applyFont="1" applyBorder="1" applyAlignment="1">
      <alignment wrapText="1"/>
    </xf>
    <xf numFmtId="0" fontId="12" fillId="0" borderId="1" xfId="0" applyNumberFormat="1" applyFont="1" applyBorder="1" applyAlignment="1">
      <alignment horizontal="left" wrapText="1" indent="1"/>
    </xf>
    <xf numFmtId="0" fontId="12" fillId="0" borderId="1" xfId="0" applyNumberFormat="1" applyFont="1" applyBorder="1"/>
    <xf numFmtId="0" fontId="16" fillId="0" borderId="11" xfId="0" applyFont="1" applyBorder="1"/>
    <xf numFmtId="0" fontId="12" fillId="0" borderId="1" xfId="0" applyFont="1" applyBorder="1" applyAlignment="1">
      <alignment horizontal="left" indent="1"/>
    </xf>
    <xf numFmtId="0" fontId="12" fillId="0" borderId="5" xfId="0" applyFont="1" applyFill="1" applyBorder="1"/>
    <xf numFmtId="0" fontId="5" fillId="10" borderId="0" xfId="0" applyFont="1" applyFill="1"/>
    <xf numFmtId="0" fontId="14" fillId="0" borderId="3" xfId="0" applyFont="1" applyFill="1" applyBorder="1" applyAlignment="1" applyProtection="1">
      <alignment horizontal="left" indent="1"/>
    </xf>
    <xf numFmtId="0" fontId="12" fillId="0" borderId="3" xfId="0" applyFont="1" applyFill="1" applyBorder="1" applyAlignment="1" applyProtection="1">
      <alignment horizontal="left" indent="1"/>
    </xf>
    <xf numFmtId="0" fontId="12" fillId="0" borderId="0" xfId="0" applyFont="1" applyAlignment="1">
      <alignment horizontal="left"/>
    </xf>
    <xf numFmtId="43" fontId="12" fillId="0" borderId="0" xfId="1" applyFont="1" applyFill="1" applyBorder="1" applyAlignment="1">
      <alignment horizontal="left"/>
    </xf>
    <xf numFmtId="43" fontId="12" fillId="0" borderId="0" xfId="0" applyNumberFormat="1" applyFont="1" applyAlignment="1">
      <alignment horizontal="left"/>
    </xf>
    <xf numFmtId="0" fontId="12" fillId="0" borderId="3" xfId="0" applyNumberFormat="1" applyFont="1" applyFill="1" applyBorder="1" applyAlignment="1" applyProtection="1">
      <alignment horizontal="left" indent="1"/>
    </xf>
    <xf numFmtId="183" fontId="17" fillId="0" borderId="42" xfId="1" applyNumberFormat="1" applyFont="1" applyFill="1" applyBorder="1" applyProtection="1"/>
    <xf numFmtId="183" fontId="17" fillId="0" borderId="8" xfId="1" applyNumberFormat="1" applyFont="1" applyFill="1" applyBorder="1" applyProtection="1"/>
    <xf numFmtId="183" fontId="17" fillId="0" borderId="3" xfId="1" applyNumberFormat="1" applyFont="1" applyFill="1" applyBorder="1" applyProtection="1"/>
    <xf numFmtId="183" fontId="17" fillId="0" borderId="76" xfId="1" applyNumberFormat="1" applyFont="1" applyFill="1" applyBorder="1" applyProtection="1"/>
    <xf numFmtId="183" fontId="17" fillId="0" borderId="0" xfId="1" applyNumberFormat="1" applyFont="1" applyFill="1" applyBorder="1" applyProtection="1"/>
    <xf numFmtId="0" fontId="2" fillId="0" borderId="0" xfId="0" applyFont="1" applyProtection="1"/>
    <xf numFmtId="176" fontId="14" fillId="0" borderId="42" xfId="0" applyNumberFormat="1" applyFont="1" applyBorder="1"/>
    <xf numFmtId="176" fontId="14" fillId="0" borderId="47" xfId="0" applyNumberFormat="1" applyFont="1" applyBorder="1"/>
    <xf numFmtId="0" fontId="16" fillId="0" borderId="3" xfId="0" applyFont="1" applyFill="1" applyBorder="1" applyAlignment="1">
      <alignment horizontal="left"/>
    </xf>
    <xf numFmtId="0" fontId="22" fillId="0" borderId="0" xfId="0" applyFont="1"/>
    <xf numFmtId="187" fontId="14" fillId="0" borderId="99" xfId="7" applyNumberFormat="1" applyFont="1" applyBorder="1" applyAlignment="1">
      <alignment horizontal="center"/>
    </xf>
    <xf numFmtId="0" fontId="14" fillId="0" borderId="3" xfId="0" applyFont="1" applyBorder="1" applyAlignment="1"/>
    <xf numFmtId="0" fontId="16" fillId="0" borderId="3" xfId="0" applyFont="1" applyBorder="1" applyAlignment="1"/>
    <xf numFmtId="0" fontId="12" fillId="0" borderId="42" xfId="0" applyNumberFormat="1" applyFont="1" applyBorder="1" applyAlignment="1" applyProtection="1">
      <alignment horizontal="center"/>
    </xf>
    <xf numFmtId="0" fontId="14" fillId="0" borderId="3" xfId="0" applyNumberFormat="1" applyFont="1" applyBorder="1" applyProtection="1"/>
    <xf numFmtId="0" fontId="19" fillId="0" borderId="42" xfId="0" applyNumberFormat="1" applyFont="1" applyBorder="1" applyAlignment="1" applyProtection="1">
      <alignment horizontal="center"/>
    </xf>
    <xf numFmtId="0" fontId="14" fillId="0" borderId="52" xfId="0" applyNumberFormat="1" applyFont="1" applyBorder="1" applyProtection="1"/>
    <xf numFmtId="0" fontId="12" fillId="0" borderId="53" xfId="0" applyNumberFormat="1" applyFont="1" applyBorder="1" applyAlignment="1" applyProtection="1">
      <alignment horizontal="center"/>
    </xf>
    <xf numFmtId="0" fontId="18" fillId="0" borderId="0" xfId="0" applyFont="1" applyBorder="1" applyAlignment="1" applyProtection="1">
      <alignment horizontal="left"/>
    </xf>
    <xf numFmtId="0" fontId="17" fillId="0" borderId="0" xfId="0" applyFont="1" applyBorder="1" applyAlignment="1" applyProtection="1">
      <alignment horizontal="center"/>
    </xf>
    <xf numFmtId="0" fontId="17" fillId="0" borderId="0" xfId="0" applyFont="1" applyBorder="1" applyProtection="1"/>
    <xf numFmtId="0" fontId="15" fillId="0" borderId="0" xfId="0" applyFont="1" applyBorder="1" applyProtection="1"/>
    <xf numFmtId="176" fontId="15" fillId="0" borderId="0" xfId="0" applyNumberFormat="1" applyFont="1" applyBorder="1" applyProtection="1"/>
    <xf numFmtId="0" fontId="17" fillId="0" borderId="0" xfId="0" quotePrefix="1" applyFont="1" applyBorder="1" applyProtection="1"/>
    <xf numFmtId="0" fontId="14" fillId="0" borderId="45" xfId="0" applyFont="1" applyFill="1" applyBorder="1" applyAlignment="1" applyProtection="1">
      <alignment horizontal="center" vertical="center"/>
    </xf>
    <xf numFmtId="0" fontId="14" fillId="0" borderId="43" xfId="0" applyFont="1" applyFill="1" applyBorder="1" applyAlignment="1" applyProtection="1">
      <alignment vertical="center"/>
    </xf>
    <xf numFmtId="0" fontId="14" fillId="0" borderId="4" xfId="0" applyFont="1" applyFill="1" applyBorder="1" applyAlignment="1" applyProtection="1">
      <alignment horizontal="left" vertical="center"/>
    </xf>
    <xf numFmtId="0" fontId="14" fillId="0" borderId="36" xfId="0" applyFont="1" applyFill="1" applyBorder="1" applyAlignment="1" applyProtection="1">
      <alignment vertical="center"/>
    </xf>
    <xf numFmtId="0" fontId="16" fillId="0" borderId="3" xfId="0" applyFont="1" applyBorder="1" applyProtection="1"/>
    <xf numFmtId="0" fontId="14" fillId="0" borderId="43" xfId="0" applyFont="1" applyBorder="1" applyAlignment="1" applyProtection="1">
      <alignment horizontal="center"/>
    </xf>
    <xf numFmtId="0" fontId="14" fillId="0" borderId="7" xfId="0" applyFont="1" applyBorder="1" applyAlignment="1" applyProtection="1">
      <alignment horizontal="center"/>
    </xf>
    <xf numFmtId="0" fontId="14" fillId="0" borderId="12" xfId="0" applyFont="1" applyBorder="1" applyAlignment="1" applyProtection="1">
      <alignment horizontal="center"/>
    </xf>
    <xf numFmtId="0" fontId="14" fillId="0" borderId="6" xfId="0" applyFont="1" applyBorder="1" applyAlignment="1" applyProtection="1">
      <alignment horizontal="center"/>
    </xf>
    <xf numFmtId="0" fontId="14" fillId="0" borderId="45" xfId="0" applyFont="1" applyBorder="1" applyAlignment="1" applyProtection="1">
      <alignment horizontal="center"/>
    </xf>
    <xf numFmtId="0" fontId="12" fillId="0" borderId="3" xfId="0" applyFont="1" applyBorder="1" applyAlignment="1" applyProtection="1">
      <alignment horizontal="left" indent="1"/>
    </xf>
    <xf numFmtId="182" fontId="12" fillId="0" borderId="42" xfId="0" applyNumberFormat="1" applyFont="1" applyBorder="1" applyAlignment="1" applyProtection="1">
      <alignment horizontal="right"/>
    </xf>
    <xf numFmtId="182" fontId="12" fillId="0" borderId="8" xfId="0" applyNumberFormat="1" applyFont="1" applyBorder="1" applyAlignment="1" applyProtection="1">
      <alignment horizontal="right"/>
    </xf>
    <xf numFmtId="182" fontId="12" fillId="0" borderId="3" xfId="0" applyNumberFormat="1" applyFont="1" applyBorder="1" applyAlignment="1" applyProtection="1">
      <alignment horizontal="right"/>
    </xf>
    <xf numFmtId="182" fontId="12" fillId="0" borderId="0" xfId="0" applyNumberFormat="1" applyFont="1" applyBorder="1" applyAlignment="1" applyProtection="1">
      <alignment horizontal="right"/>
    </xf>
    <xf numFmtId="182" fontId="12" fillId="0" borderId="47" xfId="0" applyNumberFormat="1" applyFont="1" applyBorder="1" applyAlignment="1" applyProtection="1">
      <alignment horizontal="right"/>
    </xf>
    <xf numFmtId="0" fontId="14" fillId="0" borderId="3" xfId="0" applyFont="1" applyBorder="1" applyAlignment="1" applyProtection="1">
      <alignment horizontal="left"/>
    </xf>
    <xf numFmtId="182" fontId="14" fillId="0" borderId="46" xfId="0" applyNumberFormat="1" applyFont="1" applyBorder="1" applyAlignment="1" applyProtection="1">
      <alignment horizontal="right"/>
    </xf>
    <xf numFmtId="182" fontId="14" fillId="0" borderId="49" xfId="0" applyNumberFormat="1" applyFont="1" applyBorder="1" applyAlignment="1" applyProtection="1">
      <alignment horizontal="right"/>
    </xf>
    <xf numFmtId="182" fontId="14" fillId="0" borderId="50" xfId="0" applyNumberFormat="1" applyFont="1" applyBorder="1" applyAlignment="1" applyProtection="1">
      <alignment horizontal="right"/>
    </xf>
    <xf numFmtId="182" fontId="14" fillId="0" borderId="48" xfId="0" applyNumberFormat="1" applyFont="1" applyBorder="1" applyAlignment="1" applyProtection="1">
      <alignment horizontal="right"/>
    </xf>
    <xf numFmtId="182" fontId="14" fillId="0" borderId="51" xfId="0" applyNumberFormat="1" applyFont="1" applyBorder="1" applyAlignment="1" applyProtection="1">
      <alignment horizontal="right"/>
    </xf>
    <xf numFmtId="0" fontId="12" fillId="0" borderId="3" xfId="0" applyFont="1" applyBorder="1" applyProtection="1"/>
    <xf numFmtId="182" fontId="12" fillId="0" borderId="42" xfId="0" applyNumberFormat="1" applyFont="1" applyBorder="1" applyProtection="1"/>
    <xf numFmtId="182" fontId="12" fillId="0" borderId="8" xfId="0" applyNumberFormat="1" applyFont="1" applyBorder="1" applyProtection="1"/>
    <xf numFmtId="182" fontId="12" fillId="0" borderId="3" xfId="0" applyNumberFormat="1" applyFont="1" applyBorder="1" applyProtection="1"/>
    <xf numFmtId="182" fontId="12" fillId="0" borderId="0" xfId="0" applyNumberFormat="1" applyFont="1" applyBorder="1" applyProtection="1"/>
    <xf numFmtId="182" fontId="12" fillId="0" borderId="47" xfId="0" applyNumberFormat="1" applyFont="1" applyBorder="1" applyProtection="1"/>
    <xf numFmtId="0" fontId="14" fillId="0" borderId="52" xfId="0" applyFont="1" applyBorder="1" applyProtection="1"/>
    <xf numFmtId="182" fontId="14" fillId="0" borderId="55" xfId="0" applyNumberFormat="1" applyFont="1" applyBorder="1" applyProtection="1"/>
    <xf numFmtId="182" fontId="14" fillId="0" borderId="52" xfId="0" applyNumberFormat="1" applyFont="1" applyBorder="1" applyProtection="1"/>
    <xf numFmtId="182" fontId="14" fillId="0" borderId="53" xfId="0" applyNumberFormat="1" applyFont="1" applyBorder="1" applyProtection="1"/>
    <xf numFmtId="182" fontId="14" fillId="0" borderId="54" xfId="0" applyNumberFormat="1" applyFont="1" applyBorder="1" applyProtection="1"/>
    <xf numFmtId="182" fontId="14" fillId="0" borderId="56" xfId="0" applyNumberFormat="1" applyFont="1" applyBorder="1" applyProtection="1"/>
    <xf numFmtId="0" fontId="18" fillId="0" borderId="0" xfId="0" applyFont="1" applyBorder="1" applyProtection="1"/>
    <xf numFmtId="0" fontId="12" fillId="0" borderId="0" xfId="0" applyFont="1" applyBorder="1" applyAlignment="1" applyProtection="1">
      <alignment horizontal="center"/>
    </xf>
    <xf numFmtId="0" fontId="14" fillId="0" borderId="0" xfId="0" applyFont="1" applyFill="1" applyBorder="1" applyProtection="1"/>
    <xf numFmtId="176" fontId="14" fillId="0" borderId="0" xfId="0" applyNumberFormat="1" applyFont="1" applyFill="1" applyBorder="1" applyProtection="1"/>
    <xf numFmtId="0" fontId="14" fillId="0" borderId="0" xfId="0" applyFont="1" applyBorder="1" applyProtection="1"/>
    <xf numFmtId="176" fontId="14" fillId="0" borderId="0" xfId="0" applyNumberFormat="1" applyFont="1" applyBorder="1" applyProtection="1"/>
    <xf numFmtId="0" fontId="17" fillId="0" borderId="0" xfId="0" applyFont="1" applyBorder="1" applyAlignment="1" applyProtection="1">
      <alignment horizontal="left"/>
    </xf>
    <xf numFmtId="0" fontId="17" fillId="0" borderId="0" xfId="0" applyFont="1" applyBorder="1" applyAlignment="1" applyProtection="1">
      <alignment horizontal="right"/>
    </xf>
    <xf numFmtId="172" fontId="12" fillId="0" borderId="0" xfId="1" applyNumberFormat="1" applyFont="1" applyProtection="1"/>
    <xf numFmtId="0" fontId="12" fillId="0" borderId="4" xfId="0" applyFont="1" applyBorder="1" applyProtection="1"/>
    <xf numFmtId="0" fontId="12" fillId="0" borderId="36" xfId="0" applyNumberFormat="1" applyFont="1" applyBorder="1" applyAlignment="1" applyProtection="1">
      <alignment horizontal="center"/>
    </xf>
    <xf numFmtId="182" fontId="12" fillId="0" borderId="36" xfId="0" applyNumberFormat="1" applyFont="1" applyBorder="1" applyProtection="1"/>
    <xf numFmtId="182" fontId="12" fillId="0" borderId="10" xfId="0" applyNumberFormat="1" applyFont="1" applyBorder="1" applyProtection="1"/>
    <xf numFmtId="182" fontId="12" fillId="0" borderId="4" xfId="0" applyNumberFormat="1" applyFont="1" applyBorder="1" applyProtection="1"/>
    <xf numFmtId="182" fontId="12" fillId="0" borderId="9" xfId="0" applyNumberFormat="1" applyFont="1" applyBorder="1" applyProtection="1"/>
    <xf numFmtId="182" fontId="12" fillId="0" borderId="64" xfId="0" applyNumberFormat="1" applyFont="1" applyBorder="1" applyProtection="1"/>
    <xf numFmtId="0" fontId="16" fillId="0" borderId="12" xfId="0" applyFont="1" applyBorder="1" applyProtection="1"/>
    <xf numFmtId="0" fontId="12" fillId="0" borderId="43" xfId="0" applyNumberFormat="1" applyFont="1" applyBorder="1" applyAlignment="1" applyProtection="1">
      <alignment horizontal="center"/>
    </xf>
    <xf numFmtId="182" fontId="12" fillId="0" borderId="43" xfId="0" applyNumberFormat="1" applyFont="1" applyBorder="1" applyProtection="1"/>
    <xf numFmtId="182" fontId="12" fillId="0" borderId="7" xfId="0" applyNumberFormat="1" applyFont="1" applyBorder="1" applyProtection="1"/>
    <xf numFmtId="182" fontId="12" fillId="0" borderId="12" xfId="0" applyNumberFormat="1" applyFont="1" applyBorder="1" applyProtection="1"/>
    <xf numFmtId="182" fontId="12" fillId="0" borderId="6" xfId="0" applyNumberFormat="1" applyFont="1" applyBorder="1" applyProtection="1"/>
    <xf numFmtId="182" fontId="12" fillId="0" borderId="45" xfId="0" applyNumberFormat="1" applyFont="1" applyBorder="1" applyProtection="1"/>
    <xf numFmtId="0" fontId="14" fillId="0" borderId="42" xfId="0" applyNumberFormat="1" applyFont="1" applyBorder="1" applyAlignment="1" applyProtection="1">
      <alignment horizontal="center"/>
    </xf>
    <xf numFmtId="182" fontId="14" fillId="0" borderId="42" xfId="0" applyNumberFormat="1" applyFont="1" applyBorder="1" applyAlignment="1" applyProtection="1">
      <alignment horizontal="right"/>
    </xf>
    <xf numFmtId="182" fontId="14" fillId="0" borderId="8" xfId="0" applyNumberFormat="1" applyFont="1" applyBorder="1" applyAlignment="1" applyProtection="1">
      <alignment horizontal="right"/>
    </xf>
    <xf numFmtId="182" fontId="14" fillId="0" borderId="3" xfId="0" applyNumberFormat="1" applyFont="1" applyBorder="1" applyAlignment="1" applyProtection="1">
      <alignment horizontal="right"/>
    </xf>
    <xf numFmtId="182" fontId="14" fillId="0" borderId="0" xfId="0" applyNumberFormat="1" applyFont="1" applyBorder="1" applyAlignment="1" applyProtection="1">
      <alignment horizontal="right"/>
    </xf>
    <xf numFmtId="182" fontId="14" fillId="0" borderId="47" xfId="0" applyNumberFormat="1" applyFont="1" applyBorder="1" applyAlignment="1" applyProtection="1">
      <alignment horizontal="right"/>
    </xf>
    <xf numFmtId="0" fontId="18" fillId="0" borderId="0" xfId="0" applyNumberFormat="1" applyFont="1" applyBorder="1" applyProtection="1"/>
    <xf numFmtId="0" fontId="17" fillId="0" borderId="0" xfId="0" applyNumberFormat="1" applyFont="1" applyBorder="1" applyProtection="1"/>
    <xf numFmtId="0" fontId="17" fillId="0" borderId="3" xfId="0" applyFont="1" applyBorder="1" applyAlignment="1" applyProtection="1">
      <alignment horizontal="right"/>
    </xf>
    <xf numFmtId="0" fontId="12" fillId="0" borderId="0" xfId="0" applyFont="1" applyBorder="1" applyProtection="1"/>
    <xf numFmtId="176" fontId="12" fillId="0" borderId="0" xfId="0" applyNumberFormat="1" applyFont="1" applyBorder="1" applyProtection="1"/>
    <xf numFmtId="0" fontId="17" fillId="0" borderId="0" xfId="0" quotePrefix="1" applyFont="1" applyBorder="1" applyAlignment="1" applyProtection="1">
      <alignment horizontal="left" wrapText="1"/>
    </xf>
    <xf numFmtId="43" fontId="12" fillId="0" borderId="0" xfId="1" applyFont="1" applyBorder="1" applyProtection="1"/>
    <xf numFmtId="182" fontId="12" fillId="0" borderId="0" xfId="1" applyNumberFormat="1" applyFont="1" applyBorder="1" applyProtection="1"/>
    <xf numFmtId="0" fontId="17" fillId="0" borderId="0" xfId="0" applyFont="1" applyFill="1" applyBorder="1" applyAlignment="1" applyProtection="1">
      <alignment horizontal="right"/>
    </xf>
    <xf numFmtId="0" fontId="15" fillId="0" borderId="3" xfId="0" applyNumberFormat="1" applyFont="1" applyFill="1" applyBorder="1" applyAlignment="1" applyProtection="1">
      <alignment horizontal="left" indent="1"/>
    </xf>
    <xf numFmtId="0" fontId="12" fillId="0" borderId="3" xfId="0" applyNumberFormat="1" applyFont="1" applyFill="1" applyBorder="1" applyAlignment="1" applyProtection="1">
      <alignment horizontal="left" indent="2"/>
    </xf>
    <xf numFmtId="182" fontId="12" fillId="0" borderId="47" xfId="0" applyNumberFormat="1" applyFont="1" applyBorder="1" applyAlignment="1">
      <alignment horizontal="right"/>
    </xf>
    <xf numFmtId="182" fontId="12" fillId="0" borderId="76" xfId="0" applyNumberFormat="1" applyFont="1" applyBorder="1" applyAlignment="1">
      <alignment horizontal="right"/>
    </xf>
    <xf numFmtId="0" fontId="12" fillId="0" borderId="74" xfId="0" applyFont="1" applyBorder="1" applyAlignment="1">
      <alignment horizontal="center"/>
    </xf>
    <xf numFmtId="182" fontId="14" fillId="0" borderId="74" xfId="0" applyNumberFormat="1" applyFont="1" applyBorder="1" applyAlignment="1">
      <alignment horizontal="right"/>
    </xf>
    <xf numFmtId="182" fontId="14" fillId="0" borderId="35" xfId="0" applyNumberFormat="1" applyFont="1" applyBorder="1"/>
    <xf numFmtId="182" fontId="14" fillId="0" borderId="17" xfId="0" applyNumberFormat="1" applyFont="1" applyBorder="1"/>
    <xf numFmtId="182" fontId="14" fillId="0" borderId="74" xfId="0" applyNumberFormat="1" applyFont="1" applyBorder="1"/>
    <xf numFmtId="182" fontId="14" fillId="0" borderId="34" xfId="0" applyNumberFormat="1" applyFont="1" applyBorder="1"/>
    <xf numFmtId="0" fontId="12" fillId="0" borderId="3" xfId="0" applyFont="1" applyFill="1" applyBorder="1" applyAlignment="1">
      <alignment horizontal="left" indent="2"/>
    </xf>
    <xf numFmtId="182" fontId="14" fillId="0" borderId="53" xfId="0" applyNumberFormat="1" applyFont="1" applyBorder="1" applyAlignment="1">
      <alignment vertical="top"/>
    </xf>
    <xf numFmtId="182" fontId="14" fillId="0" borderId="88" xfId="0" applyNumberFormat="1" applyFont="1" applyBorder="1" applyAlignment="1">
      <alignment vertical="top"/>
    </xf>
    <xf numFmtId="0" fontId="14" fillId="0" borderId="0" xfId="0" applyNumberFormat="1" applyFont="1" applyBorder="1" applyAlignment="1">
      <alignment vertical="center" wrapText="1"/>
    </xf>
    <xf numFmtId="0" fontId="12" fillId="0" borderId="0" xfId="0" quotePrefix="1" applyNumberFormat="1" applyFont="1" applyBorder="1" applyAlignment="1">
      <alignment horizontal="center" vertical="center" wrapText="1"/>
    </xf>
    <xf numFmtId="0" fontId="14" fillId="0" borderId="3" xfId="0" applyNumberFormat="1" applyFont="1" applyBorder="1" applyAlignment="1">
      <alignment vertical="center" wrapText="1"/>
    </xf>
    <xf numFmtId="0" fontId="12" fillId="0" borderId="76" xfId="0" quotePrefix="1" applyNumberFormat="1" applyFont="1" applyBorder="1" applyAlignment="1">
      <alignment horizontal="center" vertical="center" wrapText="1"/>
    </xf>
    <xf numFmtId="0" fontId="12" fillId="0" borderId="79" xfId="0" quotePrefix="1" applyNumberFormat="1" applyFont="1" applyBorder="1" applyAlignment="1">
      <alignment horizontal="center" vertical="center" wrapText="1"/>
    </xf>
    <xf numFmtId="0" fontId="14" fillId="0" borderId="47" xfId="0" applyFont="1" applyBorder="1"/>
    <xf numFmtId="0" fontId="17" fillId="0" borderId="3" xfId="0" applyNumberFormat="1" applyFont="1" applyBorder="1" applyAlignment="1">
      <alignment horizontal="left" indent="2"/>
    </xf>
    <xf numFmtId="182" fontId="12" fillId="0" borderId="42" xfId="0" applyNumberFormat="1" applyFont="1" applyFill="1" applyBorder="1" applyProtection="1">
      <protection locked="0"/>
    </xf>
    <xf numFmtId="182" fontId="12" fillId="0" borderId="47" xfId="0" applyNumberFormat="1" applyFont="1" applyFill="1" applyBorder="1" applyProtection="1">
      <protection locked="0"/>
    </xf>
    <xf numFmtId="182" fontId="17" fillId="0" borderId="46" xfId="0" applyNumberFormat="1" applyFont="1" applyFill="1" applyBorder="1" applyProtection="1"/>
    <xf numFmtId="182" fontId="17" fillId="0" borderId="49" xfId="0" applyNumberFormat="1" applyFont="1" applyFill="1" applyBorder="1" applyProtection="1"/>
    <xf numFmtId="182" fontId="17" fillId="0" borderId="50" xfId="0" applyNumberFormat="1" applyFont="1" applyFill="1" applyBorder="1" applyProtection="1"/>
    <xf numFmtId="182" fontId="17" fillId="0" borderId="48" xfId="0" applyNumberFormat="1" applyFont="1" applyFill="1" applyBorder="1" applyProtection="1"/>
    <xf numFmtId="182" fontId="17" fillId="0" borderId="51" xfId="0" applyNumberFormat="1" applyFont="1" applyFill="1" applyBorder="1" applyProtection="1"/>
    <xf numFmtId="182" fontId="14" fillId="0" borderId="43" xfId="0" applyNumberFormat="1" applyFont="1" applyBorder="1"/>
    <xf numFmtId="182" fontId="14" fillId="0" borderId="7" xfId="0" applyNumberFormat="1" applyFont="1" applyBorder="1"/>
    <xf numFmtId="182" fontId="14" fillId="0" borderId="12" xfId="0" applyNumberFormat="1" applyFont="1" applyBorder="1"/>
    <xf numFmtId="182" fontId="14" fillId="0" borderId="6" xfId="0" applyNumberFormat="1" applyFont="1" applyBorder="1"/>
    <xf numFmtId="182" fontId="14" fillId="0" borderId="45" xfId="0" applyNumberFormat="1" applyFont="1" applyBorder="1"/>
    <xf numFmtId="0" fontId="16" fillId="0" borderId="3" xfId="0" applyNumberFormat="1" applyFont="1" applyFill="1" applyBorder="1" applyAlignment="1">
      <alignment horizontal="left" indent="1"/>
    </xf>
    <xf numFmtId="183" fontId="14" fillId="0" borderId="100" xfId="1" applyNumberFormat="1" applyFont="1" applyBorder="1"/>
    <xf numFmtId="183" fontId="14" fillId="0" borderId="56" xfId="1" applyNumberFormat="1" applyFont="1" applyBorder="1"/>
    <xf numFmtId="183" fontId="14" fillId="0" borderId="101" xfId="1" applyNumberFormat="1" applyFont="1" applyBorder="1"/>
    <xf numFmtId="187" fontId="12" fillId="0" borderId="43" xfId="7" applyNumberFormat="1" applyFont="1" applyBorder="1" applyAlignment="1">
      <alignment horizontal="center"/>
    </xf>
    <xf numFmtId="187" fontId="12" fillId="0" borderId="75" xfId="7" applyNumberFormat="1" applyFont="1" applyBorder="1" applyAlignment="1">
      <alignment horizontal="center"/>
    </xf>
    <xf numFmtId="187" fontId="12" fillId="0" borderId="3" xfId="7" applyNumberFormat="1" applyFont="1" applyBorder="1" applyAlignment="1">
      <alignment horizontal="center"/>
    </xf>
    <xf numFmtId="187" fontId="12" fillId="0" borderId="42" xfId="7" applyNumberFormat="1" applyFont="1" applyBorder="1" applyAlignment="1">
      <alignment horizontal="center"/>
    </xf>
    <xf numFmtId="187" fontId="12" fillId="0" borderId="76" xfId="7" applyNumberFormat="1" applyFont="1" applyBorder="1" applyAlignment="1">
      <alignment horizontal="center"/>
    </xf>
    <xf numFmtId="187" fontId="12" fillId="0" borderId="0" xfId="7" applyNumberFormat="1" applyFont="1" applyBorder="1" applyAlignment="1">
      <alignment horizontal="center"/>
    </xf>
    <xf numFmtId="187" fontId="12" fillId="0" borderId="8" xfId="7" applyNumberFormat="1" applyFont="1" applyBorder="1" applyAlignment="1">
      <alignment horizontal="center"/>
    </xf>
    <xf numFmtId="0" fontId="12" fillId="0" borderId="4" xfId="0" applyNumberFormat="1" applyFont="1" applyBorder="1" applyAlignment="1">
      <alignment horizontal="left" indent="1"/>
    </xf>
    <xf numFmtId="0" fontId="12" fillId="0" borderId="4" xfId="0" applyFont="1" applyBorder="1" applyAlignment="1">
      <alignment horizontal="left" indent="1"/>
    </xf>
    <xf numFmtId="182" fontId="12" fillId="0" borderId="51" xfId="0" applyNumberFormat="1" applyFont="1" applyFill="1" applyBorder="1"/>
    <xf numFmtId="182" fontId="12" fillId="0" borderId="80" xfId="0" applyNumberFormat="1" applyFont="1" applyFill="1" applyBorder="1"/>
    <xf numFmtId="182" fontId="12" fillId="0" borderId="79" xfId="0" applyNumberFormat="1" applyFont="1" applyFill="1" applyBorder="1"/>
    <xf numFmtId="182" fontId="12" fillId="0" borderId="48" xfId="0" applyNumberFormat="1" applyFont="1" applyFill="1" applyBorder="1"/>
    <xf numFmtId="182" fontId="12" fillId="0" borderId="63" xfId="0" applyNumberFormat="1" applyFont="1" applyFill="1" applyBorder="1"/>
    <xf numFmtId="182" fontId="12" fillId="0" borderId="60" xfId="0" applyNumberFormat="1" applyFont="1" applyFill="1" applyBorder="1"/>
    <xf numFmtId="182" fontId="12" fillId="0" borderId="102" xfId="0" applyNumberFormat="1" applyFont="1" applyFill="1" applyBorder="1"/>
    <xf numFmtId="182" fontId="12" fillId="0" borderId="86" xfId="0" applyNumberFormat="1" applyFont="1" applyFill="1" applyBorder="1"/>
    <xf numFmtId="182" fontId="12" fillId="0" borderId="59" xfId="0" applyNumberFormat="1" applyFont="1" applyFill="1" applyBorder="1"/>
    <xf numFmtId="182" fontId="12" fillId="0" borderId="70" xfId="0" applyNumberFormat="1" applyFont="1" applyFill="1" applyBorder="1"/>
    <xf numFmtId="182" fontId="12" fillId="0" borderId="71" xfId="0" applyNumberFormat="1" applyFont="1" applyFill="1" applyBorder="1"/>
    <xf numFmtId="182" fontId="12" fillId="0" borderId="69" xfId="0" applyNumberFormat="1" applyFont="1" applyFill="1" applyBorder="1"/>
    <xf numFmtId="182" fontId="12" fillId="0" borderId="97" xfId="0" applyNumberFormat="1" applyFont="1" applyFill="1" applyBorder="1"/>
    <xf numFmtId="182" fontId="12" fillId="0" borderId="73" xfId="0" applyNumberFormat="1" applyFont="1" applyFill="1" applyBorder="1"/>
    <xf numFmtId="0" fontId="12" fillId="0" borderId="47" xfId="0" applyNumberFormat="1" applyFont="1" applyFill="1" applyBorder="1" applyAlignment="1" applyProtection="1">
      <alignment horizontal="left" indent="2"/>
    </xf>
    <xf numFmtId="182" fontId="12" fillId="0" borderId="8" xfId="0" applyNumberFormat="1" applyFont="1" applyFill="1" applyBorder="1" applyProtection="1">
      <protection locked="0"/>
    </xf>
    <xf numFmtId="182" fontId="12" fillId="0" borderId="3" xfId="0" applyNumberFormat="1" applyFont="1" applyFill="1" applyBorder="1" applyProtection="1">
      <protection locked="0"/>
    </xf>
    <xf numFmtId="182" fontId="12" fillId="0" borderId="0" xfId="0" applyNumberFormat="1" applyFont="1" applyFill="1" applyBorder="1" applyProtection="1">
      <protection locked="0"/>
    </xf>
    <xf numFmtId="0" fontId="14" fillId="0" borderId="103" xfId="0" applyFont="1" applyBorder="1" applyAlignment="1">
      <alignment horizontal="center"/>
    </xf>
    <xf numFmtId="0" fontId="12" fillId="0" borderId="70" xfId="0" applyNumberFormat="1" applyFont="1" applyBorder="1" applyAlignment="1" applyProtection="1">
      <alignment horizontal="left" indent="1"/>
    </xf>
    <xf numFmtId="0" fontId="16" fillId="0" borderId="47" xfId="0" applyNumberFormat="1" applyFont="1" applyBorder="1" applyProtection="1"/>
    <xf numFmtId="0" fontId="14" fillId="0" borderId="68" xfId="0" applyNumberFormat="1" applyFont="1" applyBorder="1" applyProtection="1"/>
    <xf numFmtId="182" fontId="14" fillId="0" borderId="60" xfId="0" applyNumberFormat="1" applyFont="1" applyFill="1" applyBorder="1" applyProtection="1"/>
    <xf numFmtId="182" fontId="14" fillId="0" borderId="61" xfId="0" applyNumberFormat="1" applyFont="1" applyFill="1" applyBorder="1" applyProtection="1"/>
    <xf numFmtId="182" fontId="14" fillId="0" borderId="62" xfId="0" applyNumberFormat="1" applyFont="1" applyFill="1" applyBorder="1" applyProtection="1"/>
    <xf numFmtId="182" fontId="14" fillId="0" borderId="59" xfId="0" applyNumberFormat="1" applyFont="1" applyFill="1" applyBorder="1" applyProtection="1"/>
    <xf numFmtId="182" fontId="14" fillId="0" borderId="63" xfId="0" applyNumberFormat="1" applyFont="1" applyFill="1" applyBorder="1" applyProtection="1"/>
    <xf numFmtId="182" fontId="12" fillId="0" borderId="63" xfId="0" applyNumberFormat="1" applyFont="1" applyFill="1" applyBorder="1" applyAlignment="1">
      <alignment vertical="top"/>
    </xf>
    <xf numFmtId="182" fontId="12" fillId="0" borderId="60" xfId="0" applyNumberFormat="1" applyFont="1" applyFill="1" applyBorder="1" applyAlignment="1">
      <alignment vertical="top"/>
    </xf>
    <xf numFmtId="182" fontId="12" fillId="0" borderId="102" xfId="0" applyNumberFormat="1" applyFont="1" applyFill="1" applyBorder="1" applyAlignment="1">
      <alignment vertical="top"/>
    </xf>
    <xf numFmtId="182" fontId="12" fillId="0" borderId="86" xfId="0" applyNumberFormat="1" applyFont="1" applyFill="1" applyBorder="1" applyAlignment="1">
      <alignment vertical="top"/>
    </xf>
    <xf numFmtId="182" fontId="12" fillId="0" borderId="59" xfId="0" applyNumberFormat="1" applyFont="1" applyFill="1" applyBorder="1" applyAlignment="1">
      <alignment vertical="top"/>
    </xf>
    <xf numFmtId="0" fontId="12" fillId="0" borderId="1" xfId="0" applyFont="1" applyFill="1" applyBorder="1" applyAlignment="1">
      <alignment horizontal="left" indent="2"/>
    </xf>
    <xf numFmtId="0" fontId="12" fillId="0" borderId="101" xfId="0" applyNumberFormat="1" applyFont="1" applyBorder="1" applyAlignment="1">
      <alignment horizontal="center" vertical="center"/>
    </xf>
    <xf numFmtId="182" fontId="14" fillId="0" borderId="46" xfId="0" applyNumberFormat="1" applyFont="1" applyFill="1" applyBorder="1" applyAlignment="1">
      <alignment horizontal="center"/>
    </xf>
    <xf numFmtId="182" fontId="14" fillId="0" borderId="49" xfId="0" applyNumberFormat="1" applyFont="1" applyFill="1" applyBorder="1" applyAlignment="1">
      <alignment horizontal="right"/>
    </xf>
    <xf numFmtId="182" fontId="14" fillId="0" borderId="50" xfId="0" applyNumberFormat="1" applyFont="1" applyFill="1" applyBorder="1" applyAlignment="1">
      <alignment horizontal="right"/>
    </xf>
    <xf numFmtId="182" fontId="14" fillId="0" borderId="46" xfId="0" applyNumberFormat="1" applyFont="1" applyFill="1" applyBorder="1" applyAlignment="1">
      <alignment horizontal="right"/>
    </xf>
    <xf numFmtId="182" fontId="14" fillId="0" borderId="48" xfId="0" applyNumberFormat="1" applyFont="1" applyFill="1" applyBorder="1" applyAlignment="1">
      <alignment horizontal="right"/>
    </xf>
    <xf numFmtId="0" fontId="12" fillId="0" borderId="67" xfId="0" applyFont="1" applyFill="1" applyBorder="1" applyAlignment="1">
      <alignment horizontal="left" vertical="top" wrapText="1"/>
    </xf>
    <xf numFmtId="176" fontId="12" fillId="0" borderId="6" xfId="0" applyNumberFormat="1" applyFont="1" applyBorder="1"/>
    <xf numFmtId="0" fontId="12" fillId="0" borderId="51" xfId="0" applyNumberFormat="1" applyFont="1" applyBorder="1" applyAlignment="1">
      <alignment horizontal="center"/>
    </xf>
    <xf numFmtId="0" fontId="12" fillId="0" borderId="80" xfId="0" applyNumberFormat="1" applyFont="1" applyBorder="1" applyAlignment="1">
      <alignment horizontal="center"/>
    </xf>
    <xf numFmtId="188" fontId="12" fillId="0" borderId="79" xfId="0" applyNumberFormat="1" applyFont="1" applyBorder="1" applyAlignment="1">
      <alignment horizontal="center"/>
    </xf>
    <xf numFmtId="0" fontId="14" fillId="0" borderId="64" xfId="0" applyFont="1" applyBorder="1" applyAlignment="1">
      <alignment vertical="center" wrapText="1"/>
    </xf>
    <xf numFmtId="182" fontId="12" fillId="0" borderId="51" xfId="0" applyNumberFormat="1" applyFont="1" applyFill="1" applyBorder="1" applyAlignment="1">
      <alignment vertical="top"/>
    </xf>
    <xf numFmtId="182" fontId="12" fillId="0" borderId="46" xfId="0" applyNumberFormat="1" applyFont="1" applyFill="1" applyBorder="1" applyAlignment="1">
      <alignment vertical="top"/>
    </xf>
    <xf numFmtId="182" fontId="12" fillId="0" borderId="80" xfId="0" applyNumberFormat="1" applyFont="1" applyFill="1" applyBorder="1" applyAlignment="1">
      <alignment vertical="top"/>
    </xf>
    <xf numFmtId="182" fontId="12" fillId="0" borderId="79" xfId="0" applyNumberFormat="1" applyFont="1" applyFill="1" applyBorder="1" applyAlignment="1">
      <alignment vertical="top"/>
    </xf>
    <xf numFmtId="182" fontId="12" fillId="0" borderId="48" xfId="0" applyNumberFormat="1" applyFont="1" applyFill="1" applyBorder="1" applyAlignment="1">
      <alignment vertical="top"/>
    </xf>
    <xf numFmtId="0" fontId="14" fillId="0" borderId="62" xfId="0" applyNumberFormat="1" applyFont="1" applyBorder="1" applyProtection="1"/>
    <xf numFmtId="0" fontId="12" fillId="0" borderId="60" xfId="0" applyNumberFormat="1" applyFont="1" applyBorder="1" applyAlignment="1" applyProtection="1">
      <alignment horizontal="center"/>
    </xf>
    <xf numFmtId="0" fontId="14" fillId="0" borderId="62" xfId="0" applyFont="1" applyBorder="1" applyAlignment="1" applyProtection="1">
      <alignment horizontal="left"/>
    </xf>
    <xf numFmtId="182" fontId="14" fillId="0" borderId="60" xfId="0" applyNumberFormat="1" applyFont="1" applyBorder="1" applyAlignment="1" applyProtection="1">
      <alignment horizontal="right"/>
    </xf>
    <xf numFmtId="182" fontId="14" fillId="0" borderId="61" xfId="0" applyNumberFormat="1" applyFont="1" applyBorder="1" applyAlignment="1" applyProtection="1">
      <alignment horizontal="right"/>
    </xf>
    <xf numFmtId="182" fontId="14" fillId="0" borderId="62" xfId="0" applyNumberFormat="1" applyFont="1" applyBorder="1" applyAlignment="1" applyProtection="1">
      <alignment horizontal="right"/>
    </xf>
    <xf numFmtId="182" fontId="14" fillId="0" borderId="59" xfId="0" applyNumberFormat="1" applyFont="1" applyBorder="1" applyAlignment="1" applyProtection="1">
      <alignment horizontal="right"/>
    </xf>
    <xf numFmtId="182" fontId="14" fillId="0" borderId="63" xfId="0" applyNumberFormat="1" applyFont="1" applyBorder="1" applyAlignment="1" applyProtection="1">
      <alignment horizontal="right"/>
    </xf>
    <xf numFmtId="182" fontId="14" fillId="0" borderId="60" xfId="0" applyNumberFormat="1" applyFont="1" applyBorder="1" applyProtection="1"/>
    <xf numFmtId="182" fontId="14" fillId="0" borderId="61" xfId="0" applyNumberFormat="1" applyFont="1" applyBorder="1" applyProtection="1"/>
    <xf numFmtId="182" fontId="14" fillId="0" borderId="62" xfId="0" applyNumberFormat="1" applyFont="1" applyBorder="1" applyProtection="1"/>
    <xf numFmtId="182" fontId="14" fillId="0" borderId="59" xfId="0" applyNumberFormat="1" applyFont="1" applyBorder="1" applyProtection="1"/>
    <xf numFmtId="182" fontId="14" fillId="0" borderId="63" xfId="0" applyNumberFormat="1" applyFont="1" applyBorder="1" applyProtection="1"/>
    <xf numFmtId="0" fontId="14" fillId="0" borderId="62" xfId="0" applyNumberFormat="1" applyFont="1" applyBorder="1" applyAlignment="1">
      <alignment horizontal="left" vertical="top" wrapText="1"/>
    </xf>
    <xf numFmtId="0" fontId="12" fillId="0" borderId="60" xfId="0" applyFont="1" applyBorder="1" applyAlignment="1">
      <alignment horizontal="center" vertical="top"/>
    </xf>
    <xf numFmtId="182" fontId="14" fillId="0" borderId="60" xfId="0" applyNumberFormat="1" applyFont="1" applyBorder="1" applyAlignment="1">
      <alignment vertical="top"/>
    </xf>
    <xf numFmtId="182" fontId="14" fillId="0" borderId="61" xfId="0" applyNumberFormat="1" applyFont="1" applyBorder="1" applyAlignment="1">
      <alignment vertical="top"/>
    </xf>
    <xf numFmtId="182" fontId="14" fillId="0" borderId="62" xfId="0" applyNumberFormat="1" applyFont="1" applyBorder="1" applyAlignment="1">
      <alignment vertical="top"/>
    </xf>
    <xf numFmtId="182" fontId="14" fillId="0" borderId="63" xfId="0" applyNumberFormat="1" applyFont="1" applyBorder="1" applyAlignment="1">
      <alignment vertical="top"/>
    </xf>
    <xf numFmtId="0" fontId="14" fillId="0" borderId="62" xfId="0" applyNumberFormat="1" applyFont="1" applyBorder="1" applyAlignment="1">
      <alignment vertical="top"/>
    </xf>
    <xf numFmtId="182" fontId="14" fillId="0" borderId="104" xfId="0" applyNumberFormat="1" applyFont="1" applyBorder="1"/>
    <xf numFmtId="0" fontId="12" fillId="0" borderId="86" xfId="0" applyFont="1" applyBorder="1" applyAlignment="1">
      <alignment horizontal="center"/>
    </xf>
    <xf numFmtId="0" fontId="24" fillId="0" borderId="0" xfId="6"/>
    <xf numFmtId="0" fontId="2" fillId="0" borderId="0" xfId="0" applyFont="1" applyProtection="1">
      <protection locked="0"/>
    </xf>
    <xf numFmtId="0" fontId="2" fillId="0" borderId="0" xfId="0" applyFont="1" applyAlignment="1" applyProtection="1">
      <alignment horizontal="center"/>
      <protection locked="0"/>
    </xf>
    <xf numFmtId="0" fontId="2" fillId="0" borderId="1" xfId="0" applyFont="1" applyBorder="1" applyAlignment="1" applyProtection="1">
      <alignment horizontal="center"/>
      <protection locked="0"/>
    </xf>
    <xf numFmtId="0" fontId="2" fillId="0" borderId="0" xfId="0" applyFont="1" applyBorder="1" applyProtection="1">
      <protection locked="0"/>
    </xf>
    <xf numFmtId="0" fontId="2" fillId="0" borderId="8" xfId="0" applyFont="1" applyBorder="1" applyProtection="1">
      <protection locked="0"/>
    </xf>
    <xf numFmtId="0" fontId="2" fillId="0" borderId="8" xfId="0" applyFont="1" applyBorder="1" applyAlignment="1" applyProtection="1">
      <alignment horizontal="center"/>
      <protection locked="0"/>
    </xf>
    <xf numFmtId="0" fontId="2" fillId="0" borderId="3" xfId="0" applyFont="1" applyBorder="1" applyProtection="1">
      <protection locked="0"/>
    </xf>
    <xf numFmtId="0" fontId="2" fillId="0" borderId="0" xfId="0" quotePrefix="1" applyFont="1" applyBorder="1" applyProtection="1">
      <protection locked="0"/>
    </xf>
    <xf numFmtId="0" fontId="2" fillId="0" borderId="5" xfId="0" applyFont="1" applyBorder="1" applyAlignment="1" applyProtection="1">
      <alignment horizontal="center"/>
      <protection locked="0"/>
    </xf>
    <xf numFmtId="0" fontId="2" fillId="0" borderId="4" xfId="0" applyFont="1" applyBorder="1" applyProtection="1">
      <protection locked="0"/>
    </xf>
    <xf numFmtId="0" fontId="2" fillId="0" borderId="9" xfId="0" applyFont="1" applyBorder="1" applyProtection="1">
      <protection locked="0"/>
    </xf>
    <xf numFmtId="0" fontId="2" fillId="0" borderId="10" xfId="0" applyFont="1" applyBorder="1" applyAlignment="1" applyProtection="1">
      <alignment horizontal="center"/>
      <protection locked="0"/>
    </xf>
    <xf numFmtId="0" fontId="2" fillId="0" borderId="4"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5" fillId="0" borderId="0" xfId="0" applyFont="1" applyFill="1" applyBorder="1" applyAlignment="1" applyProtection="1">
      <alignment horizontal="center"/>
      <protection locked="0"/>
    </xf>
    <xf numFmtId="0" fontId="2" fillId="0" borderId="7" xfId="0" applyFont="1" applyBorder="1" applyProtection="1">
      <protection locked="0"/>
    </xf>
    <xf numFmtId="0" fontId="2" fillId="0" borderId="3" xfId="0" applyFont="1" applyBorder="1" applyAlignment="1" applyProtection="1">
      <alignment horizontal="center"/>
      <protection locked="0"/>
    </xf>
    <xf numFmtId="0" fontId="2" fillId="0" borderId="10" xfId="0" applyFont="1" applyBorder="1" applyProtection="1">
      <protection locked="0"/>
    </xf>
    <xf numFmtId="0" fontId="2" fillId="0" borderId="7" xfId="0" applyFont="1" applyBorder="1" applyAlignment="1" applyProtection="1">
      <alignment horizontal="center"/>
      <protection locked="0"/>
    </xf>
    <xf numFmtId="0" fontId="2" fillId="0" borderId="8" xfId="0" applyFont="1" applyBorder="1" applyAlignment="1" applyProtection="1">
      <alignment horizontal="center" wrapText="1"/>
      <protection locked="0"/>
    </xf>
    <xf numFmtId="0" fontId="2" fillId="0" borderId="6" xfId="0" applyFont="1" applyBorder="1" applyAlignment="1" applyProtection="1">
      <alignment horizontal="center"/>
      <protection locked="0"/>
    </xf>
    <xf numFmtId="0" fontId="17" fillId="0" borderId="0" xfId="0" applyFont="1" applyFill="1" applyBorder="1" applyAlignment="1" applyProtection="1">
      <alignment horizontal="left"/>
    </xf>
    <xf numFmtId="182" fontId="14" fillId="0" borderId="67" xfId="0" applyNumberFormat="1" applyFont="1" applyFill="1" applyBorder="1" applyProtection="1"/>
    <xf numFmtId="182" fontId="14" fillId="0" borderId="76" xfId="0" applyNumberFormat="1" applyFont="1" applyFill="1" applyBorder="1" applyProtection="1"/>
    <xf numFmtId="182" fontId="14" fillId="0" borderId="99" xfId="0" applyNumberFormat="1" applyFont="1" applyFill="1" applyBorder="1" applyProtection="1"/>
    <xf numFmtId="182" fontId="17" fillId="0" borderId="0" xfId="0" applyNumberFormat="1" applyFont="1" applyBorder="1" applyAlignment="1" applyProtection="1">
      <alignment horizontal="right"/>
    </xf>
    <xf numFmtId="182" fontId="17" fillId="0" borderId="0" xfId="1" applyNumberFormat="1" applyFont="1" applyBorder="1" applyAlignment="1" applyProtection="1">
      <alignment horizontal="right"/>
    </xf>
    <xf numFmtId="0" fontId="17" fillId="0" borderId="0" xfId="0" applyFont="1" applyProtection="1"/>
    <xf numFmtId="0" fontId="17" fillId="0" borderId="0" xfId="0" quotePrefix="1" applyNumberFormat="1" applyFont="1" applyBorder="1" applyProtection="1"/>
    <xf numFmtId="0" fontId="17" fillId="0" borderId="0" xfId="5" applyFont="1" applyAlignment="1" applyProtection="1"/>
    <xf numFmtId="0" fontId="17" fillId="0" borderId="0" xfId="0" applyNumberFormat="1" applyFont="1" applyProtection="1"/>
    <xf numFmtId="0" fontId="18" fillId="0" borderId="0" xfId="0" applyNumberFormat="1" applyFont="1" applyProtection="1"/>
    <xf numFmtId="0" fontId="18" fillId="0" borderId="0" xfId="0" applyNumberFormat="1" applyFont="1" applyBorder="1" applyAlignment="1" applyProtection="1">
      <alignment vertical="center" wrapText="1"/>
    </xf>
    <xf numFmtId="0" fontId="18" fillId="0" borderId="0" xfId="0" applyFont="1" applyFill="1" applyBorder="1" applyAlignment="1" applyProtection="1">
      <alignment vertical="center" wrapText="1"/>
    </xf>
    <xf numFmtId="0" fontId="18" fillId="0" borderId="0" xfId="0" applyNumberFormat="1" applyFont="1" applyFill="1" applyBorder="1" applyAlignment="1" applyProtection="1">
      <alignment vertical="center" wrapText="1"/>
    </xf>
    <xf numFmtId="182" fontId="12" fillId="0" borderId="80" xfId="0" applyNumberFormat="1" applyFont="1" applyFill="1" applyBorder="1" applyProtection="1"/>
    <xf numFmtId="182" fontId="12" fillId="0" borderId="104" xfId="0" applyNumberFormat="1" applyFont="1" applyFill="1" applyBorder="1" applyProtection="1"/>
    <xf numFmtId="182" fontId="12" fillId="0" borderId="67" xfId="0" applyNumberFormat="1" applyFont="1" applyFill="1" applyBorder="1" applyProtection="1"/>
    <xf numFmtId="182" fontId="12" fillId="0" borderId="99" xfId="0" applyNumberFormat="1" applyFont="1" applyFill="1" applyBorder="1" applyProtection="1"/>
    <xf numFmtId="0" fontId="17" fillId="0" borderId="0" xfId="0" applyNumberFormat="1" applyFont="1" applyBorder="1" applyAlignment="1" applyProtection="1">
      <alignment horizontal="left" vertical="top"/>
    </xf>
    <xf numFmtId="0" fontId="17" fillId="0" borderId="3" xfId="0" applyNumberFormat="1" applyFont="1" applyFill="1" applyBorder="1" applyAlignment="1" applyProtection="1">
      <alignment horizontal="left" indent="1"/>
    </xf>
    <xf numFmtId="0" fontId="17" fillId="0" borderId="42" xfId="0" applyNumberFormat="1" applyFont="1" applyFill="1" applyBorder="1" applyAlignment="1" applyProtection="1">
      <alignment horizontal="center"/>
    </xf>
    <xf numFmtId="0" fontId="17" fillId="0" borderId="0" xfId="0" applyNumberFormat="1" applyFont="1" applyFill="1" applyBorder="1" applyAlignment="1" applyProtection="1">
      <alignment horizontal="center"/>
    </xf>
    <xf numFmtId="0" fontId="14" fillId="0" borderId="64" xfId="0" applyFont="1" applyFill="1" applyBorder="1" applyAlignment="1">
      <alignment horizontal="left" vertical="center"/>
    </xf>
    <xf numFmtId="0" fontId="12" fillId="0" borderId="47" xfId="0" applyNumberFormat="1" applyFont="1" applyFill="1" applyBorder="1" applyAlignment="1">
      <alignment horizontal="left" indent="2"/>
    </xf>
    <xf numFmtId="0" fontId="12" fillId="0" borderId="47" xfId="0" applyNumberFormat="1" applyFont="1" applyBorder="1" applyAlignment="1">
      <alignment horizontal="left" indent="2"/>
    </xf>
    <xf numFmtId="0" fontId="12" fillId="0" borderId="47" xfId="0" applyFont="1" applyBorder="1"/>
    <xf numFmtId="0" fontId="14" fillId="0" borderId="4" xfId="0" applyNumberFormat="1" applyFont="1" applyBorder="1" applyAlignment="1" applyProtection="1">
      <alignment wrapText="1"/>
    </xf>
    <xf numFmtId="0" fontId="12" fillId="0" borderId="12" xfId="0" applyNumberFormat="1" applyFont="1" applyBorder="1" applyAlignment="1">
      <alignment horizontal="center"/>
    </xf>
    <xf numFmtId="0" fontId="27" fillId="0" borderId="9" xfId="0" applyFont="1" applyFill="1" applyBorder="1" applyAlignment="1" applyProtection="1">
      <alignment horizontal="left"/>
    </xf>
    <xf numFmtId="0" fontId="1" fillId="0" borderId="0" xfId="0" applyFont="1" applyProtection="1">
      <protection hidden="1"/>
    </xf>
    <xf numFmtId="0" fontId="1" fillId="0" borderId="0" xfId="0" applyFont="1" applyProtection="1"/>
    <xf numFmtId="0" fontId="1" fillId="0" borderId="0" xfId="0" applyFont="1"/>
    <xf numFmtId="0" fontId="1" fillId="0" borderId="0" xfId="0" applyFont="1" applyBorder="1" applyProtection="1">
      <protection hidden="1"/>
    </xf>
    <xf numFmtId="0" fontId="3" fillId="0" borderId="0" xfId="0" applyFont="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3" fillId="0" borderId="0" xfId="0" quotePrefix="1" applyNumberFormat="1" applyFont="1" applyProtection="1"/>
    <xf numFmtId="0" fontId="28" fillId="0" borderId="0" xfId="0" applyFont="1" applyProtection="1"/>
    <xf numFmtId="0" fontId="28" fillId="0" borderId="0" xfId="0" applyNumberFormat="1" applyFont="1" applyProtection="1"/>
    <xf numFmtId="0" fontId="1" fillId="0" borderId="0" xfId="0" applyFont="1" applyAlignment="1" applyProtection="1">
      <alignment vertical="center"/>
      <protection hidden="1"/>
    </xf>
    <xf numFmtId="0" fontId="28" fillId="0" borderId="0" xfId="0" applyFont="1" applyAlignment="1" applyProtection="1">
      <alignment vertical="center"/>
    </xf>
    <xf numFmtId="0" fontId="1" fillId="0" borderId="0" xfId="0" applyFont="1" applyAlignment="1">
      <alignment vertical="center"/>
    </xf>
    <xf numFmtId="0" fontId="3" fillId="0" borderId="0" xfId="0" applyFont="1" applyAlignment="1" applyProtection="1">
      <alignment vertical="center"/>
    </xf>
    <xf numFmtId="0" fontId="3" fillId="0" borderId="0" xfId="0" applyFont="1" applyProtection="1"/>
    <xf numFmtId="0" fontId="0" fillId="0" borderId="0" xfId="0" applyProtection="1"/>
    <xf numFmtId="0" fontId="3" fillId="0" borderId="0" xfId="0" applyFont="1" applyBorder="1" applyProtection="1"/>
    <xf numFmtId="0" fontId="3"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11" fillId="0" borderId="0" xfId="0" applyFont="1" applyProtection="1"/>
    <xf numFmtId="0" fontId="11" fillId="0" borderId="0" xfId="0" applyFont="1" applyProtection="1">
      <protection hidden="1"/>
    </xf>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0" fontId="28" fillId="0" borderId="0" xfId="0" applyFont="1" applyFill="1" applyProtection="1"/>
    <xf numFmtId="0" fontId="12" fillId="0" borderId="0" xfId="0" applyFont="1" applyFill="1" applyProtection="1"/>
    <xf numFmtId="182" fontId="12" fillId="0" borderId="42" xfId="1" applyNumberFormat="1" applyFont="1" applyFill="1" applyBorder="1" applyProtection="1"/>
    <xf numFmtId="182" fontId="12" fillId="0" borderId="8" xfId="1" applyNumberFormat="1" applyFont="1" applyFill="1" applyBorder="1" applyProtection="1"/>
    <xf numFmtId="182" fontId="12" fillId="0" borderId="3" xfId="1" applyNumberFormat="1" applyFont="1" applyFill="1" applyBorder="1" applyProtection="1"/>
    <xf numFmtId="182" fontId="12" fillId="0" borderId="0" xfId="1" applyNumberFormat="1" applyFont="1" applyFill="1" applyBorder="1" applyProtection="1"/>
    <xf numFmtId="182" fontId="12" fillId="0" borderId="47" xfId="1" applyNumberFormat="1" applyFont="1" applyFill="1" applyBorder="1" applyProtection="1"/>
    <xf numFmtId="182" fontId="14" fillId="0" borderId="47" xfId="0" applyNumberFormat="1" applyFont="1" applyFill="1" applyBorder="1"/>
    <xf numFmtId="0" fontId="17" fillId="0" borderId="3" xfId="0" applyNumberFormat="1" applyFont="1" applyFill="1" applyBorder="1" applyAlignment="1">
      <alignment horizontal="left" indent="2"/>
    </xf>
    <xf numFmtId="182" fontId="12" fillId="0" borderId="42" xfId="0" applyNumberFormat="1" applyFont="1" applyFill="1" applyBorder="1" applyAlignment="1" applyProtection="1">
      <alignment horizontal="right"/>
    </xf>
    <xf numFmtId="182" fontId="12" fillId="0" borderId="0" xfId="0" applyNumberFormat="1" applyFont="1" applyFill="1" applyBorder="1" applyAlignment="1" applyProtection="1">
      <alignment horizontal="right"/>
    </xf>
    <xf numFmtId="182" fontId="12" fillId="0" borderId="46" xfId="0" applyNumberFormat="1" applyFont="1" applyFill="1" applyBorder="1" applyAlignment="1">
      <alignment horizontal="right"/>
    </xf>
    <xf numFmtId="182" fontId="12" fillId="0" borderId="48" xfId="0" applyNumberFormat="1" applyFont="1" applyFill="1" applyBorder="1" applyAlignment="1">
      <alignment horizontal="right"/>
    </xf>
    <xf numFmtId="182" fontId="12" fillId="0" borderId="50" xfId="0" applyNumberFormat="1" applyFont="1" applyFill="1" applyBorder="1" applyAlignment="1">
      <alignment horizontal="right"/>
    </xf>
    <xf numFmtId="182" fontId="12" fillId="0" borderId="49" xfId="0" applyNumberFormat="1" applyFont="1" applyFill="1" applyBorder="1" applyAlignment="1">
      <alignment horizontal="right"/>
    </xf>
    <xf numFmtId="0" fontId="2" fillId="0" borderId="1" xfId="0" applyFont="1" applyBorder="1" applyAlignment="1" applyProtection="1">
      <alignment horizontal="center"/>
    </xf>
    <xf numFmtId="0" fontId="2" fillId="0" borderId="0" xfId="0" applyFont="1" applyBorder="1" applyProtection="1"/>
    <xf numFmtId="0" fontId="2" fillId="0" borderId="8" xfId="0" applyFont="1" applyBorder="1" applyAlignment="1" applyProtection="1">
      <alignment horizontal="center"/>
    </xf>
    <xf numFmtId="0" fontId="2" fillId="0" borderId="3" xfId="0" applyFont="1" applyBorder="1" applyProtection="1"/>
    <xf numFmtId="0" fontId="2" fillId="0" borderId="3" xfId="0" quotePrefix="1" applyFont="1" applyBorder="1" applyProtection="1"/>
    <xf numFmtId="0" fontId="2" fillId="0" borderId="12" xfId="0" applyFont="1" applyBorder="1" applyAlignment="1" applyProtection="1">
      <alignment horizontal="center"/>
    </xf>
    <xf numFmtId="0" fontId="2" fillId="0" borderId="7" xfId="0" applyFont="1" applyBorder="1" applyProtection="1"/>
    <xf numFmtId="0" fontId="2" fillId="0" borderId="8" xfId="0" applyFont="1" applyBorder="1" applyProtection="1"/>
    <xf numFmtId="0" fontId="2" fillId="0" borderId="10" xfId="0" applyFont="1" applyBorder="1" applyProtection="1"/>
    <xf numFmtId="0" fontId="2" fillId="0" borderId="0" xfId="0" applyFont="1" applyAlignment="1" applyProtection="1">
      <alignment horizontal="center"/>
    </xf>
    <xf numFmtId="0" fontId="5" fillId="6" borderId="2" xfId="0" applyFont="1" applyFill="1" applyBorder="1" applyAlignment="1" applyProtection="1">
      <alignment horizontal="center"/>
    </xf>
    <xf numFmtId="0" fontId="5" fillId="11" borderId="34" xfId="0" applyFont="1" applyFill="1" applyBorder="1" applyAlignment="1" applyProtection="1">
      <alignment horizontal="center"/>
    </xf>
    <xf numFmtId="0" fontId="5" fillId="11" borderId="2" xfId="0" applyFont="1" applyFill="1" applyBorder="1" applyAlignment="1" applyProtection="1">
      <alignment horizontal="center"/>
    </xf>
    <xf numFmtId="0" fontId="2" fillId="0" borderId="0" xfId="0" applyFont="1" applyFill="1" applyBorder="1" applyProtection="1"/>
    <xf numFmtId="0" fontId="4" fillId="0" borderId="0" xfId="0" applyFont="1" applyBorder="1" applyProtection="1"/>
    <xf numFmtId="0" fontId="2" fillId="0" borderId="9" xfId="0" applyFont="1" applyBorder="1" applyProtection="1"/>
    <xf numFmtId="0" fontId="2" fillId="0" borderId="5" xfId="0" applyFont="1" applyBorder="1" applyAlignment="1" applyProtection="1">
      <alignment horizontal="center"/>
    </xf>
    <xf numFmtId="0" fontId="5" fillId="6" borderId="34" xfId="0" applyFont="1" applyFill="1" applyBorder="1" applyAlignment="1" applyProtection="1">
      <alignment horizontal="center"/>
    </xf>
    <xf numFmtId="0" fontId="2" fillId="0" borderId="11" xfId="0" applyFont="1" applyBorder="1" applyAlignment="1" applyProtection="1">
      <alignment horizontal="center"/>
    </xf>
    <xf numFmtId="0" fontId="2" fillId="0" borderId="6" xfId="0" applyFont="1" applyBorder="1" applyProtection="1"/>
    <xf numFmtId="0" fontId="13" fillId="12" borderId="17" xfId="0" applyFont="1" applyFill="1" applyBorder="1" applyAlignment="1" applyProtection="1"/>
    <xf numFmtId="0" fontId="13" fillId="12" borderId="17" xfId="0" applyFont="1" applyFill="1" applyBorder="1" applyAlignment="1" applyProtection="1">
      <alignment horizontal="center"/>
    </xf>
    <xf numFmtId="0" fontId="13" fillId="12" borderId="2" xfId="0" applyFont="1" applyFill="1" applyBorder="1" applyAlignment="1" applyProtection="1">
      <alignment horizontal="center"/>
    </xf>
    <xf numFmtId="0" fontId="2" fillId="0" borderId="3" xfId="0" applyFont="1" applyBorder="1" applyAlignment="1" applyProtection="1">
      <alignment horizontal="center"/>
    </xf>
    <xf numFmtId="0" fontId="2" fillId="0" borderId="12" xfId="0" applyFont="1" applyBorder="1" applyAlignment="1" applyProtection="1">
      <alignment horizontal="left"/>
    </xf>
    <xf numFmtId="0" fontId="2" fillId="0" borderId="3" xfId="0" applyFont="1" applyBorder="1" applyAlignment="1" applyProtection="1">
      <alignment horizontal="left"/>
    </xf>
    <xf numFmtId="0" fontId="2" fillId="0" borderId="4" xfId="0" applyFont="1" applyBorder="1" applyAlignment="1" applyProtection="1">
      <alignment horizontal="left"/>
    </xf>
    <xf numFmtId="0" fontId="2" fillId="0" borderId="10" xfId="0" applyFont="1" applyBorder="1" applyAlignment="1" applyProtection="1">
      <alignment horizontal="center"/>
    </xf>
    <xf numFmtId="182" fontId="14" fillId="0" borderId="102" xfId="0" applyNumberFormat="1" applyFont="1" applyFill="1" applyBorder="1" applyProtection="1"/>
    <xf numFmtId="182" fontId="14" fillId="0" borderId="86" xfId="0" applyNumberFormat="1" applyFont="1" applyFill="1" applyBorder="1" applyProtection="1"/>
    <xf numFmtId="182" fontId="14" fillId="0" borderId="105" xfId="0" applyNumberFormat="1" applyFont="1" applyFill="1" applyBorder="1" applyProtection="1"/>
    <xf numFmtId="182" fontId="14" fillId="0" borderId="80" xfId="0" applyNumberFormat="1" applyFont="1" applyFill="1" applyBorder="1" applyProtection="1"/>
    <xf numFmtId="182" fontId="14" fillId="0" borderId="79" xfId="0" applyNumberFormat="1" applyFont="1" applyFill="1" applyBorder="1" applyProtection="1"/>
    <xf numFmtId="182" fontId="14" fillId="0" borderId="104" xfId="0" applyNumberFormat="1" applyFont="1" applyFill="1" applyBorder="1" applyProtection="1"/>
    <xf numFmtId="182" fontId="12" fillId="0" borderId="42" xfId="0" applyNumberFormat="1" applyFont="1" applyFill="1" applyBorder="1" applyAlignment="1" applyProtection="1">
      <alignment horizontal="center"/>
    </xf>
    <xf numFmtId="182" fontId="12" fillId="0" borderId="8" xfId="0" applyNumberFormat="1" applyFont="1" applyFill="1" applyBorder="1" applyAlignment="1" applyProtection="1">
      <alignment horizontal="right"/>
    </xf>
    <xf numFmtId="182" fontId="12" fillId="0" borderId="3" xfId="0" applyNumberFormat="1" applyFont="1" applyFill="1" applyBorder="1" applyAlignment="1" applyProtection="1">
      <alignment horizontal="right"/>
    </xf>
    <xf numFmtId="0" fontId="17" fillId="0" borderId="0" xfId="0" applyNumberFormat="1" applyFont="1" applyFill="1" applyBorder="1" applyProtection="1"/>
    <xf numFmtId="182" fontId="14" fillId="0" borderId="80" xfId="0" applyNumberFormat="1" applyFont="1" applyFill="1" applyBorder="1"/>
    <xf numFmtId="182" fontId="14" fillId="0" borderId="79" xfId="0" applyNumberFormat="1" applyFont="1" applyFill="1" applyBorder="1"/>
    <xf numFmtId="182" fontId="14" fillId="0" borderId="104"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1" fillId="0" borderId="0" xfId="0" applyFont="1" applyFill="1" applyProtection="1"/>
    <xf numFmtId="0" fontId="26" fillId="0" borderId="0" xfId="0" applyFont="1" applyFill="1" applyProtection="1"/>
    <xf numFmtId="0" fontId="14" fillId="13" borderId="5" xfId="0" applyFont="1" applyFill="1" applyBorder="1" applyAlignment="1" applyProtection="1">
      <alignment horizontal="left" vertical="top" wrapText="1"/>
      <protection locked="0"/>
    </xf>
    <xf numFmtId="0" fontId="29" fillId="0" borderId="0" xfId="0" applyFont="1" applyAlignment="1">
      <alignment wrapText="1"/>
    </xf>
    <xf numFmtId="0" fontId="14" fillId="13" borderId="2" xfId="0" applyFont="1" applyFill="1" applyBorder="1" applyAlignment="1" applyProtection="1">
      <alignment horizontal="left" vertical="top" wrapText="1"/>
      <protection locked="0"/>
    </xf>
    <xf numFmtId="0" fontId="14" fillId="14" borderId="2" xfId="0" applyFont="1" applyFill="1" applyBorder="1" applyAlignment="1" applyProtection="1">
      <alignment horizontal="left" vertical="top" wrapText="1" indent="1"/>
      <protection locked="0"/>
    </xf>
    <xf numFmtId="0" fontId="14" fillId="15" borderId="2" xfId="0" applyFont="1" applyFill="1" applyBorder="1" applyAlignment="1" applyProtection="1">
      <alignment horizontal="left" vertical="top" wrapText="1" indent="2"/>
      <protection locked="0"/>
    </xf>
    <xf numFmtId="0" fontId="12" fillId="0" borderId="1" xfId="0" applyFont="1" applyFill="1" applyBorder="1" applyAlignment="1">
      <alignment horizontal="left" indent="1"/>
    </xf>
    <xf numFmtId="0" fontId="12" fillId="0" borderId="1" xfId="0" applyNumberFormat="1" applyFont="1" applyBorder="1" applyAlignment="1">
      <alignment horizontal="left" vertical="top" indent="1"/>
    </xf>
    <xf numFmtId="0" fontId="16" fillId="0" borderId="1" xfId="0" applyFont="1" applyFill="1" applyBorder="1" applyAlignment="1">
      <alignment horizontal="left" indent="1"/>
    </xf>
    <xf numFmtId="0" fontId="23" fillId="0" borderId="0" xfId="0" applyFont="1"/>
    <xf numFmtId="0" fontId="23" fillId="0" borderId="36" xfId="0" applyFont="1" applyBorder="1" applyAlignment="1"/>
    <xf numFmtId="0" fontId="14" fillId="0" borderId="88" xfId="0" applyNumberFormat="1" applyFont="1" applyBorder="1" applyAlignment="1">
      <alignment horizontal="left"/>
    </xf>
    <xf numFmtId="0" fontId="14" fillId="0" borderId="42" xfId="0" applyNumberFormat="1" applyFont="1" applyBorder="1" applyAlignment="1">
      <alignment horizontal="center"/>
    </xf>
    <xf numFmtId="0" fontId="19" fillId="0" borderId="3" xfId="0" applyFont="1" applyFill="1" applyBorder="1" applyAlignment="1">
      <alignment horizontal="left" indent="1"/>
    </xf>
    <xf numFmtId="0" fontId="17" fillId="0" borderId="3" xfId="0" applyFont="1" applyFill="1" applyBorder="1" applyAlignment="1">
      <alignment horizontal="left" indent="2"/>
    </xf>
    <xf numFmtId="0" fontId="15" fillId="0" borderId="3" xfId="0" applyFont="1" applyBorder="1" applyAlignment="1">
      <alignment horizontal="right" indent="1"/>
    </xf>
    <xf numFmtId="0" fontId="17" fillId="0" borderId="3" xfId="0" applyNumberFormat="1" applyFont="1" applyBorder="1" applyAlignment="1" applyProtection="1">
      <alignment horizontal="right" indent="1"/>
    </xf>
    <xf numFmtId="0" fontId="14" fillId="0" borderId="47" xfId="0" applyNumberFormat="1" applyFont="1" applyBorder="1"/>
    <xf numFmtId="0" fontId="16" fillId="0" borderId="47" xfId="0" applyNumberFormat="1" applyFont="1" applyBorder="1" applyAlignment="1">
      <alignment horizontal="left" indent="1"/>
    </xf>
    <xf numFmtId="0" fontId="17" fillId="0" borderId="47" xfId="0" applyNumberFormat="1" applyFont="1" applyFill="1" applyBorder="1" applyAlignment="1">
      <alignment horizontal="left" indent="2"/>
    </xf>
    <xf numFmtId="0" fontId="12" fillId="0" borderId="47" xfId="0" applyFont="1" applyBorder="1" applyAlignment="1">
      <alignment horizontal="left" indent="2"/>
    </xf>
    <xf numFmtId="0" fontId="14" fillId="0" borderId="56" xfId="0" applyFont="1" applyBorder="1"/>
    <xf numFmtId="0" fontId="14" fillId="0" borderId="12" xfId="0" applyFont="1" applyBorder="1"/>
    <xf numFmtId="0" fontId="14" fillId="0" borderId="17" xfId="0" applyFont="1" applyBorder="1"/>
    <xf numFmtId="0" fontId="14" fillId="0" borderId="3" xfId="0" applyFont="1" applyFill="1" applyBorder="1" applyAlignment="1">
      <alignment horizontal="left" indent="1"/>
    </xf>
    <xf numFmtId="0" fontId="14" fillId="2" borderId="7" xfId="0" applyFont="1" applyFill="1" applyBorder="1" applyAlignment="1">
      <alignment horizontal="center" vertical="top" wrapText="1"/>
    </xf>
    <xf numFmtId="0" fontId="14" fillId="2" borderId="11" xfId="0" applyFont="1" applyFill="1" applyBorder="1" applyAlignment="1">
      <alignment horizontal="center" vertical="top" wrapText="1"/>
    </xf>
    <xf numFmtId="0" fontId="11" fillId="0" borderId="47" xfId="0" applyFont="1" applyFill="1" applyBorder="1" applyAlignment="1">
      <alignment horizontal="left" vertical="top" wrapText="1" indent="3"/>
    </xf>
    <xf numFmtId="0" fontId="12" fillId="0" borderId="0" xfId="0" applyFont="1" applyFill="1" applyAlignment="1">
      <alignment horizontal="right"/>
    </xf>
    <xf numFmtId="174" fontId="12" fillId="0" borderId="0" xfId="0" applyNumberFormat="1" applyFont="1" applyFill="1"/>
    <xf numFmtId="0" fontId="12" fillId="0" borderId="0" xfId="0" applyFont="1" applyFill="1" applyBorder="1" applyAlignment="1" applyProtection="1">
      <protection locked="0"/>
    </xf>
    <xf numFmtId="0" fontId="23" fillId="0" borderId="0" xfId="0" applyFont="1" applyFill="1"/>
    <xf numFmtId="0" fontId="12" fillId="0" borderId="0" xfId="0" applyFont="1" applyFill="1" applyAlignment="1">
      <alignment vertical="top"/>
    </xf>
    <xf numFmtId="0" fontId="12" fillId="0" borderId="0" xfId="0" applyFont="1" applyFill="1" applyAlignment="1"/>
    <xf numFmtId="0" fontId="12" fillId="0" borderId="0" xfId="0" applyFont="1" applyFill="1" applyAlignment="1">
      <alignment wrapText="1"/>
    </xf>
    <xf numFmtId="182" fontId="12" fillId="0" borderId="0" xfId="0" applyNumberFormat="1" applyFont="1" applyFill="1" applyProtection="1">
      <protection locked="0"/>
    </xf>
    <xf numFmtId="0" fontId="14" fillId="0" borderId="0" xfId="0" applyNumberFormat="1" applyFont="1" applyBorder="1"/>
    <xf numFmtId="0" fontId="16" fillId="0" borderId="12" xfId="0" applyFont="1" applyBorder="1"/>
    <xf numFmtId="0" fontId="12" fillId="0" borderId="11" xfId="0" applyFont="1" applyBorder="1" applyAlignment="1">
      <alignment horizontal="center"/>
    </xf>
    <xf numFmtId="182" fontId="14" fillId="0" borderId="75" xfId="0" applyNumberFormat="1" applyFont="1" applyBorder="1"/>
    <xf numFmtId="0" fontId="12" fillId="0" borderId="1" xfId="0" applyFont="1" applyBorder="1" applyAlignment="1">
      <alignment horizontal="center"/>
    </xf>
    <xf numFmtId="0" fontId="12" fillId="0" borderId="5" xfId="0" applyFont="1" applyBorder="1" applyAlignment="1">
      <alignment horizontal="center"/>
    </xf>
    <xf numFmtId="182" fontId="14" fillId="0" borderId="104" xfId="0" applyNumberFormat="1" applyFont="1" applyBorder="1" applyAlignment="1">
      <alignment horizontal="right"/>
    </xf>
    <xf numFmtId="182" fontId="14" fillId="0" borderId="79" xfId="0" applyNumberFormat="1" applyFont="1" applyBorder="1" applyAlignment="1">
      <alignment horizontal="right"/>
    </xf>
    <xf numFmtId="182" fontId="14" fillId="0" borderId="44" xfId="0" applyNumberFormat="1" applyFont="1" applyBorder="1" applyAlignment="1">
      <alignment horizontal="right"/>
    </xf>
    <xf numFmtId="182" fontId="14" fillId="0" borderId="84" xfId="0" applyNumberFormat="1" applyFont="1" applyBorder="1" applyAlignment="1">
      <alignment horizontal="right"/>
    </xf>
    <xf numFmtId="182" fontId="14" fillId="0" borderId="88" xfId="0" applyNumberFormat="1" applyFont="1" applyBorder="1" applyAlignment="1">
      <alignment horizontal="right"/>
    </xf>
    <xf numFmtId="0" fontId="14" fillId="0" borderId="62" xfId="0" applyNumberFormat="1" applyFont="1" applyFill="1" applyBorder="1" applyAlignment="1">
      <alignment wrapText="1"/>
    </xf>
    <xf numFmtId="178" fontId="12" fillId="0" borderId="99" xfId="7" applyNumberFormat="1" applyFont="1" applyFill="1" applyBorder="1" applyAlignment="1">
      <alignment horizontal="center"/>
    </xf>
    <xf numFmtId="0" fontId="12" fillId="0" borderId="8" xfId="0" applyFont="1" applyBorder="1"/>
    <xf numFmtId="0" fontId="16" fillId="0" borderId="0" xfId="0" applyFont="1" applyBorder="1"/>
    <xf numFmtId="0" fontId="12" fillId="0" borderId="0" xfId="0" applyFont="1" applyFill="1" applyBorder="1" applyAlignment="1"/>
    <xf numFmtId="0" fontId="12" fillId="0" borderId="1" xfId="0" applyFont="1" applyBorder="1"/>
    <xf numFmtId="175" fontId="12" fillId="0" borderId="1" xfId="8" applyNumberFormat="1" applyFont="1" applyBorder="1" applyAlignment="1"/>
    <xf numFmtId="175" fontId="12" fillId="0" borderId="1" xfId="8" applyNumberFormat="1" applyFont="1" applyBorder="1"/>
    <xf numFmtId="10" fontId="12" fillId="0" borderId="1" xfId="8" applyNumberFormat="1" applyFont="1" applyFill="1" applyBorder="1" applyProtection="1"/>
    <xf numFmtId="0" fontId="12" fillId="0" borderId="0" xfId="0" applyFont="1" applyBorder="1" applyAlignment="1">
      <alignment wrapText="1"/>
    </xf>
    <xf numFmtId="182" fontId="12" fillId="0" borderId="1" xfId="0" applyNumberFormat="1" applyFont="1" applyBorder="1" applyAlignment="1">
      <alignment horizontal="left" wrapText="1"/>
    </xf>
    <xf numFmtId="182" fontId="12" fillId="0" borderId="11" xfId="0" applyNumberFormat="1" applyFont="1" applyBorder="1" applyAlignment="1">
      <alignment horizontal="left" wrapText="1"/>
    </xf>
    <xf numFmtId="0" fontId="12" fillId="0" borderId="7" xfId="0" applyFont="1" applyBorder="1" applyAlignment="1">
      <alignment horizontal="center"/>
    </xf>
    <xf numFmtId="0" fontId="16" fillId="0" borderId="7" xfId="0" applyFont="1" applyBorder="1"/>
    <xf numFmtId="0" fontId="12" fillId="0" borderId="11" xfId="0" applyFont="1" applyBorder="1"/>
    <xf numFmtId="0" fontId="12" fillId="0" borderId="9" xfId="0" applyFont="1" applyBorder="1"/>
    <xf numFmtId="0" fontId="12" fillId="0" borderId="10" xfId="0" applyFont="1" applyBorder="1"/>
    <xf numFmtId="175" fontId="12" fillId="0" borderId="5" xfId="8" applyNumberFormat="1" applyFont="1" applyBorder="1"/>
    <xf numFmtId="179" fontId="12" fillId="0" borderId="5" xfId="0" applyNumberFormat="1" applyFont="1" applyBorder="1"/>
    <xf numFmtId="0" fontId="12" fillId="0" borderId="9" xfId="0" applyFont="1" applyFill="1" applyBorder="1" applyAlignment="1"/>
    <xf numFmtId="182" fontId="12" fillId="0" borderId="5" xfId="0" applyNumberFormat="1" applyFont="1" applyFill="1" applyBorder="1"/>
    <xf numFmtId="0" fontId="12" fillId="0" borderId="76" xfId="0" applyFont="1" applyBorder="1"/>
    <xf numFmtId="178" fontId="12" fillId="0" borderId="36" xfId="0" applyNumberFormat="1" applyFont="1" applyBorder="1" applyAlignment="1">
      <alignment horizontal="center"/>
    </xf>
    <xf numFmtId="178" fontId="12" fillId="0" borderId="42" xfId="0" quotePrefix="1" applyNumberFormat="1" applyFont="1" applyBorder="1" applyAlignment="1">
      <alignment horizontal="center"/>
    </xf>
    <xf numFmtId="0" fontId="12" fillId="0" borderId="43" xfId="0" applyFont="1" applyBorder="1"/>
    <xf numFmtId="182" fontId="12" fillId="0" borderId="36" xfId="0" quotePrefix="1" applyNumberFormat="1" applyFont="1" applyBorder="1" applyAlignment="1">
      <alignment horizontal="center"/>
    </xf>
    <xf numFmtId="0" fontId="12" fillId="0" borderId="106" xfId="0" applyFont="1" applyBorder="1"/>
    <xf numFmtId="182" fontId="12" fillId="0" borderId="76" xfId="0" applyNumberFormat="1" applyFont="1" applyBorder="1" applyAlignment="1">
      <alignment horizontal="center"/>
    </xf>
    <xf numFmtId="0" fontId="12" fillId="0" borderId="99" xfId="0" applyFont="1" applyBorder="1"/>
    <xf numFmtId="178" fontId="12" fillId="0" borderId="77" xfId="0" applyNumberFormat="1" applyFont="1" applyBorder="1" applyAlignment="1">
      <alignment horizontal="center"/>
    </xf>
    <xf numFmtId="178" fontId="12" fillId="0" borderId="76" xfId="0" quotePrefix="1" applyNumberFormat="1" applyFont="1" applyBorder="1" applyAlignment="1">
      <alignment horizontal="center"/>
    </xf>
    <xf numFmtId="182" fontId="12" fillId="0" borderId="77" xfId="0" quotePrefix="1" applyNumberFormat="1" applyFont="1" applyBorder="1" applyAlignment="1">
      <alignment horizontal="center"/>
    </xf>
    <xf numFmtId="0" fontId="2" fillId="17" borderId="11" xfId="0" applyFont="1" applyFill="1" applyBorder="1" applyAlignment="1" applyProtection="1">
      <alignment horizontal="center"/>
      <protection locked="0"/>
    </xf>
    <xf numFmtId="17" fontId="2" fillId="17" borderId="6" xfId="0" quotePrefix="1" applyNumberFormat="1" applyFont="1" applyFill="1" applyBorder="1" applyProtection="1">
      <protection locked="0"/>
    </xf>
    <xf numFmtId="0" fontId="2" fillId="17" borderId="6" xfId="0" applyFont="1" applyFill="1" applyBorder="1" applyProtection="1">
      <protection locked="0"/>
    </xf>
    <xf numFmtId="0" fontId="2" fillId="17" borderId="7" xfId="0" applyFont="1" applyFill="1" applyBorder="1" applyProtection="1">
      <protection locked="0"/>
    </xf>
    <xf numFmtId="0" fontId="2" fillId="17" borderId="1" xfId="0" applyFont="1" applyFill="1" applyBorder="1" applyAlignment="1" applyProtection="1">
      <alignment horizontal="center"/>
      <protection locked="0"/>
    </xf>
    <xf numFmtId="0" fontId="2" fillId="17" borderId="0" xfId="0" quotePrefix="1" applyFont="1" applyFill="1" applyBorder="1" applyProtection="1">
      <protection locked="0"/>
    </xf>
    <xf numFmtId="0" fontId="2" fillId="17" borderId="0" xfId="0" applyFont="1" applyFill="1" applyBorder="1" applyProtection="1">
      <protection locked="0"/>
    </xf>
    <xf numFmtId="0" fontId="2" fillId="17" borderId="8" xfId="0" applyFont="1" applyFill="1" applyBorder="1" applyProtection="1">
      <protection locked="0"/>
    </xf>
    <xf numFmtId="0" fontId="2" fillId="17" borderId="0" xfId="0" applyFont="1" applyFill="1" applyAlignment="1" applyProtection="1">
      <alignment horizontal="center"/>
      <protection locked="0"/>
    </xf>
    <xf numFmtId="0" fontId="2" fillId="17" borderId="0" xfId="0" applyFont="1" applyFill="1" applyAlignment="1" applyProtection="1">
      <alignment wrapText="1"/>
      <protection locked="0"/>
    </xf>
    <xf numFmtId="0" fontId="2" fillId="17" borderId="0" xfId="0" applyFont="1" applyFill="1" applyProtection="1">
      <protection locked="0"/>
    </xf>
    <xf numFmtId="0" fontId="2" fillId="17" borderId="0" xfId="0" applyFont="1" applyFill="1" applyAlignment="1" applyProtection="1">
      <alignment horizontal="left"/>
      <protection locked="0"/>
    </xf>
    <xf numFmtId="182" fontId="12" fillId="17" borderId="42" xfId="0" applyNumberFormat="1" applyFont="1" applyFill="1" applyBorder="1" applyProtection="1">
      <protection locked="0"/>
    </xf>
    <xf numFmtId="182" fontId="12" fillId="17" borderId="67" xfId="0" applyNumberFormat="1" applyFont="1" applyFill="1" applyBorder="1" applyProtection="1">
      <protection locked="0"/>
    </xf>
    <xf numFmtId="182" fontId="12" fillId="17" borderId="47" xfId="0" applyNumberFormat="1" applyFont="1" applyFill="1" applyBorder="1" applyProtection="1">
      <protection locked="0"/>
    </xf>
    <xf numFmtId="182" fontId="12" fillId="17" borderId="76" xfId="0" applyNumberFormat="1" applyFont="1" applyFill="1" applyBorder="1" applyProtection="1">
      <protection locked="0"/>
    </xf>
    <xf numFmtId="182" fontId="12" fillId="17" borderId="99" xfId="0" applyNumberFormat="1" applyFont="1" applyFill="1" applyBorder="1" applyProtection="1">
      <protection locked="0"/>
    </xf>
    <xf numFmtId="182" fontId="12" fillId="17" borderId="46" xfId="0" applyNumberFormat="1" applyFont="1" applyFill="1" applyBorder="1" applyProtection="1">
      <protection locked="0"/>
    </xf>
    <xf numFmtId="182" fontId="12" fillId="17" borderId="80" xfId="0" applyNumberFormat="1" applyFont="1" applyFill="1" applyBorder="1" applyProtection="1">
      <protection locked="0"/>
    </xf>
    <xf numFmtId="182" fontId="12" fillId="17" borderId="51" xfId="0" applyNumberFormat="1" applyFont="1" applyFill="1" applyBorder="1" applyProtection="1">
      <protection locked="0"/>
    </xf>
    <xf numFmtId="182" fontId="12" fillId="17" borderId="79" xfId="0" applyNumberFormat="1" applyFont="1" applyFill="1" applyBorder="1" applyProtection="1">
      <protection locked="0"/>
    </xf>
    <xf numFmtId="182" fontId="14" fillId="17" borderId="46" xfId="0" applyNumberFormat="1" applyFont="1" applyFill="1" applyBorder="1" applyProtection="1">
      <protection locked="0"/>
    </xf>
    <xf numFmtId="182" fontId="14" fillId="17" borderId="80" xfId="0" applyNumberFormat="1" applyFont="1" applyFill="1" applyBorder="1" applyProtection="1">
      <protection locked="0"/>
    </xf>
    <xf numFmtId="182" fontId="14" fillId="17" borderId="51" xfId="0" applyNumberFormat="1" applyFont="1" applyFill="1" applyBorder="1" applyProtection="1">
      <protection locked="0"/>
    </xf>
    <xf numFmtId="182" fontId="14" fillId="17" borderId="79" xfId="0" applyNumberFormat="1" applyFont="1" applyFill="1" applyBorder="1" applyProtection="1">
      <protection locked="0"/>
    </xf>
    <xf numFmtId="182" fontId="12" fillId="17" borderId="42" xfId="0" applyNumberFormat="1" applyFont="1" applyFill="1" applyBorder="1" applyAlignment="1" applyProtection="1">
      <alignment horizontal="right"/>
      <protection locked="0"/>
    </xf>
    <xf numFmtId="182" fontId="12" fillId="17" borderId="8" xfId="0" applyNumberFormat="1" applyFont="1" applyFill="1" applyBorder="1" applyAlignment="1" applyProtection="1">
      <alignment horizontal="right"/>
      <protection locked="0"/>
    </xf>
    <xf numFmtId="182" fontId="12" fillId="17" borderId="3" xfId="0" applyNumberFormat="1" applyFont="1" applyFill="1" applyBorder="1" applyAlignment="1" applyProtection="1">
      <alignment horizontal="right"/>
      <protection locked="0"/>
    </xf>
    <xf numFmtId="182" fontId="12" fillId="17" borderId="0" xfId="0" applyNumberFormat="1" applyFont="1" applyFill="1" applyBorder="1" applyAlignment="1" applyProtection="1">
      <alignment horizontal="right"/>
      <protection locked="0"/>
    </xf>
    <xf numFmtId="182" fontId="12" fillId="17" borderId="47" xfId="0" applyNumberFormat="1" applyFont="1" applyFill="1" applyBorder="1" applyAlignment="1" applyProtection="1">
      <alignment horizontal="right"/>
      <protection locked="0"/>
    </xf>
    <xf numFmtId="182" fontId="12" fillId="17" borderId="76" xfId="0" applyNumberFormat="1" applyFont="1" applyFill="1" applyBorder="1" applyAlignment="1" applyProtection="1">
      <alignment horizontal="right"/>
      <protection locked="0"/>
    </xf>
    <xf numFmtId="0" fontId="12" fillId="17" borderId="3" xfId="0" applyFont="1" applyFill="1" applyBorder="1" applyAlignment="1" applyProtection="1">
      <alignment horizontal="left" indent="1"/>
      <protection locked="0"/>
    </xf>
    <xf numFmtId="182" fontId="12" fillId="17" borderId="8" xfId="0" applyNumberFormat="1" applyFont="1" applyFill="1" applyBorder="1" applyProtection="1">
      <protection locked="0"/>
    </xf>
    <xf numFmtId="182" fontId="12" fillId="17" borderId="3" xfId="0" applyNumberFormat="1" applyFont="1" applyFill="1" applyBorder="1" applyProtection="1">
      <protection locked="0"/>
    </xf>
    <xf numFmtId="182" fontId="12" fillId="17" borderId="0" xfId="0" applyNumberFormat="1" applyFont="1" applyFill="1" applyBorder="1" applyProtection="1">
      <protection locked="0"/>
    </xf>
    <xf numFmtId="182" fontId="12" fillId="17" borderId="42" xfId="1" applyNumberFormat="1" applyFont="1" applyFill="1" applyBorder="1" applyProtection="1">
      <protection locked="0"/>
    </xf>
    <xf numFmtId="182" fontId="12" fillId="17" borderId="8" xfId="1" applyNumberFormat="1" applyFont="1" applyFill="1" applyBorder="1" applyProtection="1">
      <protection locked="0"/>
    </xf>
    <xf numFmtId="182" fontId="12" fillId="17" borderId="3" xfId="1" applyNumberFormat="1" applyFont="1" applyFill="1" applyBorder="1" applyProtection="1">
      <protection locked="0"/>
    </xf>
    <xf numFmtId="182" fontId="12" fillId="17" borderId="0" xfId="1" applyNumberFormat="1" applyFont="1" applyFill="1" applyBorder="1" applyProtection="1">
      <protection locked="0"/>
    </xf>
    <xf numFmtId="182" fontId="12" fillId="17" borderId="47" xfId="1" applyNumberFormat="1" applyFont="1" applyFill="1" applyBorder="1" applyProtection="1">
      <protection locked="0"/>
    </xf>
    <xf numFmtId="182" fontId="14" fillId="17" borderId="3" xfId="1" applyNumberFormat="1" applyFont="1" applyFill="1" applyBorder="1" applyProtection="1">
      <protection locked="0"/>
    </xf>
    <xf numFmtId="182" fontId="14" fillId="17" borderId="42" xfId="1" applyNumberFormat="1" applyFont="1" applyFill="1" applyBorder="1" applyProtection="1">
      <protection locked="0"/>
    </xf>
    <xf numFmtId="182" fontId="14" fillId="17" borderId="8" xfId="1" applyNumberFormat="1" applyFont="1" applyFill="1" applyBorder="1" applyProtection="1">
      <protection locked="0"/>
    </xf>
    <xf numFmtId="182" fontId="14" fillId="17" borderId="47" xfId="1" applyNumberFormat="1" applyFont="1" applyFill="1" applyBorder="1" applyProtection="1">
      <protection locked="0"/>
    </xf>
    <xf numFmtId="182" fontId="12" fillId="17" borderId="76" xfId="1" applyNumberFormat="1" applyFont="1" applyFill="1" applyBorder="1" applyProtection="1">
      <protection locked="0"/>
    </xf>
    <xf numFmtId="182" fontId="14" fillId="17" borderId="42" xfId="0" applyNumberFormat="1" applyFont="1" applyFill="1" applyBorder="1" applyProtection="1">
      <protection locked="0"/>
    </xf>
    <xf numFmtId="182" fontId="14" fillId="17" borderId="8" xfId="0" applyNumberFormat="1" applyFont="1" applyFill="1" applyBorder="1" applyProtection="1">
      <protection locked="0"/>
    </xf>
    <xf numFmtId="182" fontId="14" fillId="17" borderId="3" xfId="0" applyNumberFormat="1" applyFont="1" applyFill="1" applyBorder="1" applyProtection="1">
      <protection locked="0"/>
    </xf>
    <xf numFmtId="182" fontId="14" fillId="17" borderId="0" xfId="0" applyNumberFormat="1" applyFont="1" applyFill="1" applyBorder="1" applyProtection="1">
      <protection locked="0"/>
    </xf>
    <xf numFmtId="182" fontId="14" fillId="17" borderId="71" xfId="0" applyNumberFormat="1" applyFont="1" applyFill="1" applyBorder="1" applyProtection="1">
      <protection locked="0"/>
    </xf>
    <xf numFmtId="182" fontId="14" fillId="17" borderId="97" xfId="0" applyNumberFormat="1" applyFont="1" applyFill="1" applyBorder="1" applyProtection="1">
      <protection locked="0"/>
    </xf>
    <xf numFmtId="182" fontId="14" fillId="17" borderId="47" xfId="0" applyNumberFormat="1" applyFont="1" applyFill="1" applyBorder="1" applyProtection="1">
      <protection locked="0"/>
    </xf>
    <xf numFmtId="0" fontId="12" fillId="17" borderId="0" xfId="0" applyFont="1" applyFill="1" applyProtection="1">
      <protection locked="0"/>
    </xf>
    <xf numFmtId="0" fontId="19" fillId="17" borderId="0" xfId="0" applyFont="1" applyFill="1" applyProtection="1">
      <protection locked="0"/>
    </xf>
    <xf numFmtId="182" fontId="12" fillId="17" borderId="71" xfId="0" applyNumberFormat="1" applyFont="1" applyFill="1" applyBorder="1" applyProtection="1">
      <protection locked="0"/>
    </xf>
    <xf numFmtId="182" fontId="12" fillId="17" borderId="72" xfId="0" applyNumberFormat="1" applyFont="1" applyFill="1" applyBorder="1" applyProtection="1">
      <protection locked="0"/>
    </xf>
    <xf numFmtId="182" fontId="12" fillId="17" borderId="68" xfId="0" applyNumberFormat="1" applyFont="1" applyFill="1" applyBorder="1" applyProtection="1">
      <protection locked="0"/>
    </xf>
    <xf numFmtId="182" fontId="12" fillId="17" borderId="73" xfId="0" applyNumberFormat="1" applyFont="1" applyFill="1" applyBorder="1" applyProtection="1">
      <protection locked="0"/>
    </xf>
    <xf numFmtId="182" fontId="12" fillId="17" borderId="97" xfId="0" applyNumberFormat="1" applyFont="1" applyFill="1" applyBorder="1" applyProtection="1">
      <protection locked="0"/>
    </xf>
    <xf numFmtId="183" fontId="12" fillId="17" borderId="42" xfId="0" applyNumberFormat="1" applyFont="1" applyFill="1" applyBorder="1" applyProtection="1">
      <protection locked="0"/>
    </xf>
    <xf numFmtId="183" fontId="12" fillId="17" borderId="8" xfId="0" applyNumberFormat="1" applyFont="1" applyFill="1" applyBorder="1" applyProtection="1">
      <protection locked="0"/>
    </xf>
    <xf numFmtId="183" fontId="12" fillId="17" borderId="3" xfId="1" applyNumberFormat="1" applyFont="1" applyFill="1" applyBorder="1" applyProtection="1">
      <protection locked="0"/>
    </xf>
    <xf numFmtId="183" fontId="12" fillId="17" borderId="0" xfId="0" applyNumberFormat="1" applyFont="1" applyFill="1" applyBorder="1" applyProtection="1">
      <protection locked="0"/>
    </xf>
    <xf numFmtId="183" fontId="12" fillId="17" borderId="47" xfId="0" applyNumberFormat="1" applyFont="1" applyFill="1" applyBorder="1" applyProtection="1">
      <protection locked="0"/>
    </xf>
    <xf numFmtId="183" fontId="12" fillId="17" borderId="42" xfId="1" applyNumberFormat="1" applyFont="1" applyFill="1" applyBorder="1" applyProtection="1">
      <protection locked="0"/>
    </xf>
    <xf numFmtId="183" fontId="12" fillId="17" borderId="8" xfId="1" applyNumberFormat="1" applyFont="1" applyFill="1" applyBorder="1" applyProtection="1">
      <protection locked="0"/>
    </xf>
    <xf numFmtId="183" fontId="12" fillId="17" borderId="0" xfId="1" applyNumberFormat="1" applyFont="1" applyFill="1" applyBorder="1" applyProtection="1">
      <protection locked="0"/>
    </xf>
    <xf numFmtId="183" fontId="12" fillId="17" borderId="71" xfId="0" applyNumberFormat="1" applyFont="1" applyFill="1" applyBorder="1" applyProtection="1">
      <protection locked="0"/>
    </xf>
    <xf numFmtId="183" fontId="12" fillId="17" borderId="72" xfId="0" applyNumberFormat="1" applyFont="1" applyFill="1" applyBorder="1" applyProtection="1">
      <protection locked="0"/>
    </xf>
    <xf numFmtId="183" fontId="12" fillId="17" borderId="70" xfId="0" applyNumberFormat="1" applyFont="1" applyFill="1" applyBorder="1" applyProtection="1">
      <protection locked="0"/>
    </xf>
    <xf numFmtId="176" fontId="12" fillId="17" borderId="42" xfId="0" applyNumberFormat="1" applyFont="1" applyFill="1" applyBorder="1" applyProtection="1">
      <protection locked="0"/>
    </xf>
    <xf numFmtId="176" fontId="12" fillId="17" borderId="8" xfId="0" applyNumberFormat="1" applyFont="1" applyFill="1" applyBorder="1" applyProtection="1">
      <protection locked="0"/>
    </xf>
    <xf numFmtId="176" fontId="12" fillId="17" borderId="3" xfId="0" applyNumberFormat="1" applyFont="1" applyFill="1" applyBorder="1" applyProtection="1">
      <protection locked="0"/>
    </xf>
    <xf numFmtId="176" fontId="12" fillId="17" borderId="0" xfId="0" applyNumberFormat="1" applyFont="1" applyFill="1" applyBorder="1" applyProtection="1">
      <protection locked="0"/>
    </xf>
    <xf numFmtId="176" fontId="12" fillId="17" borderId="71" xfId="0" applyNumberFormat="1" applyFont="1" applyFill="1" applyBorder="1" applyProtection="1">
      <protection locked="0"/>
    </xf>
    <xf numFmtId="176" fontId="12" fillId="17" borderId="72" xfId="0" applyNumberFormat="1" applyFont="1" applyFill="1" applyBorder="1" applyProtection="1">
      <protection locked="0"/>
    </xf>
    <xf numFmtId="176" fontId="12" fillId="17" borderId="68" xfId="0" applyNumberFormat="1" applyFont="1" applyFill="1" applyBorder="1" applyProtection="1">
      <protection locked="0"/>
    </xf>
    <xf numFmtId="176" fontId="12" fillId="17" borderId="70" xfId="0" applyNumberFormat="1" applyFont="1" applyFill="1" applyBorder="1" applyProtection="1">
      <protection locked="0"/>
    </xf>
    <xf numFmtId="176" fontId="14" fillId="17" borderId="42" xfId="0" applyNumberFormat="1" applyFont="1" applyFill="1" applyBorder="1" applyProtection="1">
      <protection locked="0"/>
    </xf>
    <xf numFmtId="176" fontId="14" fillId="17" borderId="8" xfId="0" applyNumberFormat="1" applyFont="1" applyFill="1" applyBorder="1" applyProtection="1">
      <protection locked="0"/>
    </xf>
    <xf numFmtId="176" fontId="14" fillId="17" borderId="3" xfId="0" applyNumberFormat="1" applyFont="1" applyFill="1" applyBorder="1" applyProtection="1">
      <protection locked="0"/>
    </xf>
    <xf numFmtId="176" fontId="14" fillId="17" borderId="47" xfId="0" applyNumberFormat="1" applyFont="1" applyFill="1" applyBorder="1" applyProtection="1">
      <protection locked="0"/>
    </xf>
    <xf numFmtId="0" fontId="17" fillId="17" borderId="3" xfId="0" applyFont="1" applyFill="1" applyBorder="1" applyAlignment="1" applyProtection="1">
      <alignment horizontal="left" indent="1"/>
      <protection locked="0"/>
    </xf>
    <xf numFmtId="0" fontId="12" fillId="17" borderId="4" xfId="0" applyFont="1" applyFill="1" applyBorder="1" applyProtection="1">
      <protection locked="0"/>
    </xf>
    <xf numFmtId="182" fontId="12" fillId="17" borderId="43" xfId="0" applyNumberFormat="1" applyFont="1" applyFill="1" applyBorder="1" applyProtection="1">
      <protection locked="0"/>
    </xf>
    <xf numFmtId="182" fontId="12" fillId="17" borderId="7" xfId="0" applyNumberFormat="1" applyFont="1" applyFill="1" applyBorder="1" applyProtection="1">
      <protection locked="0"/>
    </xf>
    <xf numFmtId="182" fontId="12" fillId="17" borderId="12" xfId="0" applyNumberFormat="1" applyFont="1" applyFill="1" applyBorder="1" applyProtection="1">
      <protection locked="0"/>
    </xf>
    <xf numFmtId="182" fontId="12" fillId="17" borderId="6" xfId="0" applyNumberFormat="1" applyFont="1" applyFill="1" applyBorder="1" applyProtection="1">
      <protection locked="0"/>
    </xf>
    <xf numFmtId="182" fontId="12" fillId="17" borderId="45" xfId="0" applyNumberFormat="1" applyFont="1" applyFill="1" applyBorder="1" applyProtection="1">
      <protection locked="0"/>
    </xf>
    <xf numFmtId="182" fontId="12" fillId="17" borderId="36" xfId="0" applyNumberFormat="1" applyFont="1" applyFill="1" applyBorder="1" applyProtection="1">
      <protection locked="0"/>
    </xf>
    <xf numFmtId="182" fontId="12" fillId="17" borderId="10" xfId="0" applyNumberFormat="1" applyFont="1" applyFill="1" applyBorder="1" applyProtection="1">
      <protection locked="0"/>
    </xf>
    <xf numFmtId="182" fontId="12" fillId="17" borderId="4" xfId="0" applyNumberFormat="1" applyFont="1" applyFill="1" applyBorder="1" applyProtection="1">
      <protection locked="0"/>
    </xf>
    <xf numFmtId="182" fontId="12" fillId="17" borderId="9" xfId="0" applyNumberFormat="1" applyFont="1" applyFill="1" applyBorder="1" applyProtection="1">
      <protection locked="0"/>
    </xf>
    <xf numFmtId="182" fontId="12" fillId="17" borderId="64" xfId="0" applyNumberFormat="1" applyFont="1" applyFill="1" applyBorder="1" applyProtection="1">
      <protection locked="0"/>
    </xf>
    <xf numFmtId="0" fontId="12" fillId="17" borderId="3" xfId="0" applyFont="1" applyFill="1" applyBorder="1" applyAlignment="1" applyProtection="1">
      <alignment vertical="top" wrapText="1"/>
      <protection locked="0"/>
    </xf>
    <xf numFmtId="0" fontId="12" fillId="17" borderId="42" xfId="0" applyFont="1" applyFill="1" applyBorder="1" applyAlignment="1" applyProtection="1">
      <alignment vertical="top" wrapText="1"/>
      <protection locked="0"/>
    </xf>
    <xf numFmtId="182" fontId="12" fillId="17" borderId="42" xfId="0" applyNumberFormat="1" applyFont="1" applyFill="1" applyBorder="1" applyAlignment="1" applyProtection="1">
      <alignment vertical="top" wrapText="1"/>
      <protection locked="0"/>
    </xf>
    <xf numFmtId="182" fontId="12" fillId="17" borderId="8" xfId="0" applyNumberFormat="1" applyFont="1" applyFill="1" applyBorder="1" applyAlignment="1" applyProtection="1">
      <alignment vertical="top" wrapText="1"/>
      <protection locked="0"/>
    </xf>
    <xf numFmtId="182" fontId="12" fillId="17" borderId="3" xfId="0" applyNumberFormat="1" applyFont="1" applyFill="1" applyBorder="1" applyAlignment="1" applyProtection="1">
      <alignment vertical="top" wrapText="1"/>
      <protection locked="0"/>
    </xf>
    <xf numFmtId="182" fontId="12" fillId="17" borderId="0" xfId="0" applyNumberFormat="1" applyFont="1" applyFill="1" applyBorder="1" applyAlignment="1" applyProtection="1">
      <alignment vertical="top" wrapText="1"/>
      <protection locked="0"/>
    </xf>
    <xf numFmtId="182" fontId="12" fillId="17" borderId="47" xfId="0" applyNumberFormat="1" applyFont="1" applyFill="1" applyBorder="1" applyAlignment="1" applyProtection="1">
      <alignment vertical="top" wrapText="1"/>
      <protection locked="0"/>
    </xf>
    <xf numFmtId="0" fontId="14" fillId="17" borderId="42" xfId="0" applyFont="1" applyFill="1" applyBorder="1" applyAlignment="1" applyProtection="1">
      <alignment horizontal="center" vertical="top" wrapText="1"/>
      <protection locked="0"/>
    </xf>
    <xf numFmtId="0" fontId="14" fillId="17" borderId="8" xfId="0" applyFont="1" applyFill="1" applyBorder="1" applyAlignment="1" applyProtection="1">
      <alignment horizontal="left" vertical="top" wrapText="1"/>
      <protection locked="0"/>
    </xf>
    <xf numFmtId="175" fontId="12" fillId="17" borderId="8" xfId="7" applyNumberFormat="1" applyFont="1" applyFill="1" applyBorder="1" applyAlignment="1" applyProtection="1">
      <alignment horizontal="center" vertical="top" wrapText="1"/>
      <protection locked="0"/>
    </xf>
    <xf numFmtId="175" fontId="12" fillId="17" borderId="1" xfId="7" applyNumberFormat="1" applyFont="1" applyFill="1" applyBorder="1" applyAlignment="1" applyProtection="1">
      <alignment horizontal="center" vertical="top" wrapText="1"/>
      <protection locked="0"/>
    </xf>
    <xf numFmtId="175" fontId="12" fillId="17" borderId="11" xfId="7" applyNumberFormat="1" applyFont="1" applyFill="1" applyBorder="1" applyAlignment="1" applyProtection="1">
      <alignment horizontal="center" vertical="top" wrapText="1"/>
      <protection locked="0"/>
    </xf>
    <xf numFmtId="0" fontId="12" fillId="17" borderId="1" xfId="0" applyFont="1" applyFill="1" applyBorder="1" applyAlignment="1" applyProtection="1">
      <alignment horizontal="left" vertical="top" wrapText="1"/>
      <protection locked="0"/>
    </xf>
    <xf numFmtId="0" fontId="12" fillId="17" borderId="8" xfId="0" applyFont="1" applyFill="1" applyBorder="1" applyAlignment="1" applyProtection="1">
      <alignment horizontal="left" vertical="top" wrapText="1"/>
      <protection locked="0"/>
    </xf>
    <xf numFmtId="0" fontId="17" fillId="17" borderId="5" xfId="0" applyFont="1" applyFill="1" applyBorder="1" applyAlignment="1" applyProtection="1">
      <alignment horizontal="left" wrapText="1"/>
      <protection locked="0"/>
    </xf>
    <xf numFmtId="0" fontId="14" fillId="17" borderId="5" xfId="0" applyFont="1" applyFill="1" applyBorder="1" applyAlignment="1" applyProtection="1">
      <alignment horizontal="left" vertical="top" wrapText="1"/>
      <protection locked="0"/>
    </xf>
    <xf numFmtId="0" fontId="12" fillId="17" borderId="44" xfId="0" applyFont="1" applyFill="1" applyBorder="1" applyAlignment="1" applyProtection="1">
      <alignment horizontal="left" vertical="top" wrapText="1"/>
      <protection locked="0"/>
    </xf>
    <xf numFmtId="175" fontId="12" fillId="17" borderId="49" xfId="7" applyNumberFormat="1" applyFont="1" applyFill="1" applyBorder="1" applyAlignment="1" applyProtection="1">
      <alignment horizontal="center" vertical="top" wrapText="1"/>
      <protection locked="0"/>
    </xf>
    <xf numFmtId="175" fontId="12" fillId="17" borderId="44" xfId="7" applyNumberFormat="1" applyFont="1" applyFill="1" applyBorder="1" applyAlignment="1" applyProtection="1">
      <alignment horizontal="center" vertical="top" wrapText="1"/>
      <protection locked="0"/>
    </xf>
    <xf numFmtId="0" fontId="14" fillId="17" borderId="44" xfId="0" applyFont="1" applyFill="1" applyBorder="1" applyAlignment="1" applyProtection="1">
      <alignment horizontal="left" vertical="top" wrapText="1"/>
      <protection locked="0"/>
    </xf>
    <xf numFmtId="0" fontId="14" fillId="17" borderId="2" xfId="0" applyFont="1" applyFill="1" applyBorder="1" applyAlignment="1" applyProtection="1">
      <alignment horizontal="left" wrapText="1" indent="1"/>
      <protection locked="0"/>
    </xf>
    <xf numFmtId="183" fontId="12" fillId="17" borderId="99" xfId="7" applyNumberFormat="1" applyFont="1" applyFill="1" applyBorder="1" applyAlignment="1" applyProtection="1">
      <alignment horizontal="center" vertical="top" wrapText="1"/>
      <protection locked="0"/>
    </xf>
    <xf numFmtId="183" fontId="12" fillId="17" borderId="42" xfId="7" applyNumberFormat="1" applyFont="1" applyFill="1" applyBorder="1" applyAlignment="1" applyProtection="1">
      <alignment horizontal="center" vertical="top" wrapText="1"/>
      <protection locked="0"/>
    </xf>
    <xf numFmtId="183" fontId="12" fillId="17" borderId="8" xfId="7" applyNumberFormat="1" applyFont="1" applyFill="1" applyBorder="1" applyAlignment="1" applyProtection="1">
      <alignment horizontal="center" vertical="top" wrapText="1"/>
      <protection locked="0"/>
    </xf>
    <xf numFmtId="183" fontId="12" fillId="17" borderId="3" xfId="7" applyNumberFormat="1" applyFont="1" applyFill="1" applyBorder="1" applyAlignment="1" applyProtection="1">
      <alignment horizontal="center" vertical="top" wrapText="1"/>
      <protection locked="0"/>
    </xf>
    <xf numFmtId="183" fontId="12" fillId="17" borderId="0" xfId="7" applyNumberFormat="1" applyFont="1" applyFill="1" applyBorder="1" applyAlignment="1" applyProtection="1">
      <alignment horizontal="center" vertical="top" wrapText="1"/>
      <protection locked="0"/>
    </xf>
    <xf numFmtId="183" fontId="12" fillId="17" borderId="45" xfId="7" applyNumberFormat="1" applyFont="1" applyFill="1" applyBorder="1" applyAlignment="1" applyProtection="1">
      <alignment horizontal="center" vertical="top" wrapText="1"/>
      <protection locked="0"/>
    </xf>
    <xf numFmtId="0" fontId="17" fillId="17" borderId="2" xfId="0" applyFont="1" applyFill="1" applyBorder="1" applyAlignment="1" applyProtection="1">
      <alignment horizontal="left" wrapText="1" indent="1"/>
      <protection locked="0"/>
    </xf>
    <xf numFmtId="183" fontId="12" fillId="17" borderId="47" xfId="7" applyNumberFormat="1" applyFont="1" applyFill="1" applyBorder="1" applyAlignment="1" applyProtection="1">
      <alignment horizontal="center" vertical="top" wrapText="1"/>
      <protection locked="0"/>
    </xf>
    <xf numFmtId="0" fontId="17" fillId="17" borderId="11" xfId="0" applyFont="1" applyFill="1" applyBorder="1" applyAlignment="1" applyProtection="1">
      <alignment horizontal="left" wrapText="1" indent="1"/>
      <protection locked="0"/>
    </xf>
    <xf numFmtId="0" fontId="12" fillId="17" borderId="7" xfId="0" applyFont="1" applyFill="1" applyBorder="1" applyAlignment="1" applyProtection="1">
      <alignment horizontal="left" vertical="top" wrapText="1"/>
      <protection locked="0"/>
    </xf>
    <xf numFmtId="183" fontId="12" fillId="17" borderId="103" xfId="7" applyNumberFormat="1" applyFont="1" applyFill="1" applyBorder="1" applyAlignment="1" applyProtection="1">
      <alignment horizontal="center" vertical="top" wrapText="1"/>
      <protection locked="0"/>
    </xf>
    <xf numFmtId="183" fontId="12" fillId="17" borderId="43" xfId="7" applyNumberFormat="1" applyFont="1" applyFill="1" applyBorder="1" applyAlignment="1" applyProtection="1">
      <alignment horizontal="center" vertical="top" wrapText="1"/>
      <protection locked="0"/>
    </xf>
    <xf numFmtId="183" fontId="12" fillId="17" borderId="7" xfId="7" applyNumberFormat="1" applyFont="1" applyFill="1" applyBorder="1" applyAlignment="1" applyProtection="1">
      <alignment horizontal="center" vertical="top" wrapText="1"/>
      <protection locked="0"/>
    </xf>
    <xf numFmtId="183" fontId="12" fillId="17" borderId="12" xfId="7" applyNumberFormat="1" applyFont="1" applyFill="1" applyBorder="1" applyAlignment="1" applyProtection="1">
      <alignment horizontal="center" vertical="top" wrapText="1"/>
      <protection locked="0"/>
    </xf>
    <xf numFmtId="183" fontId="12" fillId="17" borderId="6" xfId="7" applyNumberFormat="1" applyFont="1" applyFill="1" applyBorder="1" applyAlignment="1" applyProtection="1">
      <alignment horizontal="center" vertical="top" wrapText="1"/>
      <protection locked="0"/>
    </xf>
    <xf numFmtId="0" fontId="12" fillId="17" borderId="8" xfId="0" applyFont="1" applyFill="1" applyBorder="1" applyAlignment="1" applyProtection="1">
      <alignment horizontal="left" wrapText="1"/>
      <protection locked="0"/>
    </xf>
    <xf numFmtId="183" fontId="12" fillId="17" borderId="99" xfId="0" applyNumberFormat="1" applyFont="1" applyFill="1" applyBorder="1" applyAlignment="1" applyProtection="1">
      <alignment horizontal="center" vertical="top" wrapText="1"/>
      <protection locked="0"/>
    </xf>
    <xf numFmtId="183" fontId="12" fillId="17" borderId="42" xfId="0" applyNumberFormat="1" applyFont="1" applyFill="1" applyBorder="1" applyAlignment="1" applyProtection="1">
      <alignment horizontal="center" vertical="top" wrapText="1"/>
      <protection locked="0"/>
    </xf>
    <xf numFmtId="183" fontId="12" fillId="17" borderId="8" xfId="0" applyNumberFormat="1" applyFont="1" applyFill="1" applyBorder="1" applyAlignment="1" applyProtection="1">
      <alignment horizontal="center" vertical="top" wrapText="1"/>
      <protection locked="0"/>
    </xf>
    <xf numFmtId="183" fontId="12" fillId="17" borderId="3" xfId="0" applyNumberFormat="1" applyFont="1" applyFill="1" applyBorder="1" applyAlignment="1" applyProtection="1">
      <alignment horizontal="center" vertical="top" wrapText="1"/>
      <protection locked="0"/>
    </xf>
    <xf numFmtId="183" fontId="12" fillId="17" borderId="0" xfId="0" applyNumberFormat="1" applyFont="1" applyFill="1" applyBorder="1" applyAlignment="1" applyProtection="1">
      <alignment horizontal="center" vertical="top" wrapText="1"/>
      <protection locked="0"/>
    </xf>
    <xf numFmtId="183" fontId="12" fillId="17" borderId="47" xfId="0" applyNumberFormat="1" applyFont="1" applyFill="1" applyBorder="1" applyAlignment="1" applyProtection="1">
      <alignment horizontal="center" vertical="top" wrapText="1"/>
      <protection locked="0"/>
    </xf>
    <xf numFmtId="0" fontId="14" fillId="17" borderId="11" xfId="0" applyFont="1" applyFill="1" applyBorder="1" applyAlignment="1" applyProtection="1">
      <alignment horizontal="left" vertical="top" wrapText="1"/>
      <protection locked="0"/>
    </xf>
    <xf numFmtId="183" fontId="12" fillId="17" borderId="103" xfId="1" applyNumberFormat="1" applyFont="1" applyFill="1" applyBorder="1" applyAlignment="1" applyProtection="1">
      <alignment horizontal="center" vertical="top" wrapText="1"/>
      <protection locked="0"/>
    </xf>
    <xf numFmtId="183" fontId="12" fillId="17" borderId="43" xfId="1" applyNumberFormat="1" applyFont="1" applyFill="1" applyBorder="1" applyAlignment="1" applyProtection="1">
      <alignment horizontal="center" vertical="top" wrapText="1"/>
      <protection locked="0"/>
    </xf>
    <xf numFmtId="183" fontId="12" fillId="17" borderId="7" xfId="1" applyNumberFormat="1" applyFont="1" applyFill="1" applyBorder="1" applyAlignment="1" applyProtection="1">
      <alignment horizontal="center" vertical="top" wrapText="1"/>
      <protection locked="0"/>
    </xf>
    <xf numFmtId="183" fontId="12" fillId="17" borderId="12" xfId="1" applyNumberFormat="1" applyFont="1" applyFill="1" applyBorder="1" applyAlignment="1" applyProtection="1">
      <alignment horizontal="center" vertical="top" wrapText="1"/>
      <protection locked="0"/>
    </xf>
    <xf numFmtId="183" fontId="12" fillId="17" borderId="6" xfId="1" applyNumberFormat="1" applyFont="1" applyFill="1" applyBorder="1" applyAlignment="1" applyProtection="1">
      <alignment horizontal="center" vertical="top" wrapText="1"/>
      <protection locked="0"/>
    </xf>
    <xf numFmtId="183" fontId="12" fillId="17" borderId="45" xfId="1" applyNumberFormat="1" applyFont="1" applyFill="1" applyBorder="1" applyAlignment="1" applyProtection="1">
      <alignment horizontal="center" vertical="top" wrapText="1"/>
      <protection locked="0"/>
    </xf>
    <xf numFmtId="183" fontId="12" fillId="17" borderId="99" xfId="1" applyNumberFormat="1" applyFont="1" applyFill="1" applyBorder="1" applyAlignment="1" applyProtection="1">
      <alignment horizontal="center" vertical="top" wrapText="1"/>
      <protection locked="0"/>
    </xf>
    <xf numFmtId="183" fontId="12" fillId="17" borderId="42" xfId="1" applyNumberFormat="1" applyFont="1" applyFill="1" applyBorder="1" applyAlignment="1" applyProtection="1">
      <alignment horizontal="center" vertical="top" wrapText="1"/>
      <protection locked="0"/>
    </xf>
    <xf numFmtId="183" fontId="12" fillId="17" borderId="8" xfId="1" applyNumberFormat="1" applyFont="1" applyFill="1" applyBorder="1" applyAlignment="1" applyProtection="1">
      <alignment horizontal="center" vertical="top" wrapText="1"/>
      <protection locked="0"/>
    </xf>
    <xf numFmtId="183" fontId="12" fillId="17" borderId="3" xfId="1" applyNumberFormat="1" applyFont="1" applyFill="1" applyBorder="1" applyAlignment="1" applyProtection="1">
      <alignment horizontal="center" vertical="top" wrapText="1"/>
      <protection locked="0"/>
    </xf>
    <xf numFmtId="183" fontId="12" fillId="17" borderId="0" xfId="1" applyNumberFormat="1" applyFont="1" applyFill="1" applyBorder="1" applyAlignment="1" applyProtection="1">
      <alignment horizontal="center" vertical="top" wrapText="1"/>
      <protection locked="0"/>
    </xf>
    <xf numFmtId="183" fontId="12" fillId="17" borderId="47" xfId="1" applyNumberFormat="1" applyFont="1" applyFill="1" applyBorder="1" applyAlignment="1" applyProtection="1">
      <alignment horizontal="center" vertical="top" wrapText="1"/>
      <protection locked="0"/>
    </xf>
    <xf numFmtId="0" fontId="12" fillId="17" borderId="10" xfId="0" applyFont="1" applyFill="1" applyBorder="1" applyAlignment="1" applyProtection="1">
      <alignment horizontal="left" vertical="top" wrapText="1"/>
      <protection locked="0"/>
    </xf>
    <xf numFmtId="183" fontId="12" fillId="17" borderId="93" xfId="0" applyNumberFormat="1" applyFont="1" applyFill="1" applyBorder="1" applyAlignment="1" applyProtection="1">
      <alignment horizontal="center" vertical="top" wrapText="1"/>
      <protection locked="0"/>
    </xf>
    <xf numFmtId="183" fontId="12" fillId="17" borderId="36" xfId="0" applyNumberFormat="1" applyFont="1" applyFill="1" applyBorder="1" applyAlignment="1" applyProtection="1">
      <alignment horizontal="center" vertical="top" wrapText="1"/>
      <protection locked="0"/>
    </xf>
    <xf numFmtId="183" fontId="12" fillId="17" borderId="10" xfId="0" applyNumberFormat="1" applyFont="1" applyFill="1" applyBorder="1" applyAlignment="1" applyProtection="1">
      <alignment horizontal="center" vertical="top" wrapText="1"/>
      <protection locked="0"/>
    </xf>
    <xf numFmtId="183" fontId="12" fillId="17" borderId="4" xfId="0" applyNumberFormat="1" applyFont="1" applyFill="1" applyBorder="1" applyAlignment="1" applyProtection="1">
      <alignment horizontal="center" vertical="top" wrapText="1"/>
      <protection locked="0"/>
    </xf>
    <xf numFmtId="183" fontId="12" fillId="17" borderId="9" xfId="0" applyNumberFormat="1" applyFont="1" applyFill="1" applyBorder="1" applyAlignment="1" applyProtection="1">
      <alignment horizontal="center" vertical="top" wrapText="1"/>
      <protection locked="0"/>
    </xf>
    <xf numFmtId="183" fontId="12" fillId="17" borderId="64" xfId="0" applyNumberFormat="1" applyFont="1" applyFill="1" applyBorder="1" applyAlignment="1" applyProtection="1">
      <alignment horizontal="center" vertical="top" wrapText="1"/>
      <protection locked="0"/>
    </xf>
    <xf numFmtId="0" fontId="12" fillId="17" borderId="47" xfId="7" applyNumberFormat="1" applyFont="1" applyFill="1" applyBorder="1" applyAlignment="1" applyProtection="1">
      <alignment horizontal="center" vertical="top" wrapText="1"/>
      <protection locked="0"/>
    </xf>
    <xf numFmtId="0" fontId="12" fillId="17" borderId="42" xfId="0" applyNumberFormat="1" applyFont="1" applyFill="1" applyBorder="1" applyAlignment="1" applyProtection="1">
      <alignment horizontal="center" vertical="top" wrapText="1"/>
      <protection locked="0"/>
    </xf>
    <xf numFmtId="0" fontId="12" fillId="17" borderId="8" xfId="0" applyNumberFormat="1" applyFont="1" applyFill="1" applyBorder="1" applyAlignment="1" applyProtection="1">
      <alignment horizontal="center" vertical="top" wrapText="1"/>
      <protection locked="0"/>
    </xf>
    <xf numFmtId="0" fontId="12" fillId="17" borderId="3" xfId="0" applyNumberFormat="1" applyFont="1" applyFill="1" applyBorder="1" applyAlignment="1" applyProtection="1">
      <alignment horizontal="center" vertical="top" wrapText="1"/>
      <protection locked="0"/>
    </xf>
    <xf numFmtId="0" fontId="12" fillId="17" borderId="0" xfId="0" applyNumberFormat="1" applyFont="1" applyFill="1" applyBorder="1" applyAlignment="1" applyProtection="1">
      <alignment horizontal="center" vertical="top" wrapText="1"/>
      <protection locked="0"/>
    </xf>
    <xf numFmtId="175" fontId="12" fillId="17" borderId="47" xfId="7" applyNumberFormat="1" applyFont="1" applyFill="1" applyBorder="1" applyAlignment="1" applyProtection="1">
      <alignment horizontal="center" vertical="top" wrapText="1"/>
      <protection locked="0"/>
    </xf>
    <xf numFmtId="175" fontId="12" fillId="17" borderId="42" xfId="7" applyNumberFormat="1" applyFont="1" applyFill="1" applyBorder="1" applyAlignment="1" applyProtection="1">
      <alignment horizontal="center" vertical="top" wrapText="1"/>
      <protection locked="0"/>
    </xf>
    <xf numFmtId="175" fontId="12" fillId="17" borderId="3" xfId="7" applyNumberFormat="1" applyFont="1" applyFill="1" applyBorder="1" applyAlignment="1" applyProtection="1">
      <alignment horizontal="center" vertical="top" wrapText="1"/>
      <protection locked="0"/>
    </xf>
    <xf numFmtId="175" fontId="12" fillId="17" borderId="0" xfId="7" applyNumberFormat="1" applyFont="1" applyFill="1" applyBorder="1" applyAlignment="1" applyProtection="1">
      <alignment horizontal="center" vertical="top" wrapText="1"/>
      <protection locked="0"/>
    </xf>
    <xf numFmtId="175" fontId="12" fillId="17" borderId="47" xfId="0" applyNumberFormat="1" applyFont="1" applyFill="1" applyBorder="1" applyAlignment="1" applyProtection="1">
      <alignment horizontal="center" vertical="top" wrapText="1"/>
      <protection locked="0"/>
    </xf>
    <xf numFmtId="175" fontId="12" fillId="17" borderId="42" xfId="0" applyNumberFormat="1" applyFont="1" applyFill="1" applyBorder="1" applyAlignment="1" applyProtection="1">
      <alignment horizontal="center" vertical="top" wrapText="1"/>
      <protection locked="0"/>
    </xf>
    <xf numFmtId="175" fontId="12" fillId="17" borderId="8" xfId="0" applyNumberFormat="1" applyFont="1" applyFill="1" applyBorder="1" applyAlignment="1" applyProtection="1">
      <alignment horizontal="center" vertical="top" wrapText="1"/>
      <protection locked="0"/>
    </xf>
    <xf numFmtId="175" fontId="12" fillId="17" borderId="3" xfId="0" applyNumberFormat="1" applyFont="1" applyFill="1" applyBorder="1" applyAlignment="1" applyProtection="1">
      <alignment horizontal="center" vertical="top" wrapText="1"/>
      <protection locked="0"/>
    </xf>
    <xf numFmtId="175" fontId="12" fillId="17" borderId="0" xfId="0" applyNumberFormat="1" applyFont="1" applyFill="1" applyBorder="1" applyAlignment="1" applyProtection="1">
      <alignment horizontal="center" vertical="top" wrapText="1"/>
      <protection locked="0"/>
    </xf>
    <xf numFmtId="175" fontId="12" fillId="17" borderId="2" xfId="0" applyNumberFormat="1" applyFont="1" applyFill="1" applyBorder="1" applyAlignment="1" applyProtection="1">
      <alignment horizontal="center"/>
      <protection locked="0"/>
    </xf>
    <xf numFmtId="182" fontId="12" fillId="17" borderId="76" xfId="1" applyNumberFormat="1" applyFont="1" applyFill="1" applyBorder="1" applyAlignment="1" applyProtection="1">
      <alignment horizontal="left" vertical="top" wrapText="1"/>
      <protection locked="0"/>
    </xf>
    <xf numFmtId="182" fontId="12" fillId="17" borderId="97" xfId="7" applyNumberFormat="1" applyFont="1" applyFill="1" applyBorder="1" applyAlignment="1" applyProtection="1">
      <alignment horizontal="center" vertical="top" wrapText="1"/>
      <protection locked="0"/>
    </xf>
    <xf numFmtId="0" fontId="12" fillId="17" borderId="3" xfId="0" applyNumberFormat="1" applyFont="1" applyFill="1" applyBorder="1" applyAlignment="1" applyProtection="1">
      <alignment horizontal="left" vertical="top" wrapText="1" indent="1"/>
      <protection locked="0"/>
    </xf>
    <xf numFmtId="183" fontId="12" fillId="17" borderId="76" xfId="1" applyNumberFormat="1" applyFont="1" applyFill="1" applyBorder="1" applyAlignment="1" applyProtection="1">
      <alignment horizontal="left" vertical="top" wrapText="1"/>
      <protection locked="0"/>
    </xf>
    <xf numFmtId="183" fontId="12" fillId="17" borderId="67" xfId="7" applyNumberFormat="1" applyFont="1" applyFill="1" applyBorder="1" applyAlignment="1" applyProtection="1">
      <alignment horizontal="center" vertical="top" wrapText="1"/>
      <protection locked="0"/>
    </xf>
    <xf numFmtId="183" fontId="12" fillId="17" borderId="1" xfId="7" applyNumberFormat="1" applyFont="1" applyFill="1" applyBorder="1" applyAlignment="1" applyProtection="1">
      <alignment horizontal="center" vertical="top" wrapText="1"/>
      <protection locked="0"/>
    </xf>
    <xf numFmtId="0" fontId="12" fillId="17" borderId="68" xfId="0" applyNumberFormat="1" applyFont="1" applyFill="1" applyBorder="1" applyAlignment="1" applyProtection="1">
      <alignment horizontal="left" vertical="top" wrapText="1" indent="1"/>
      <protection locked="0"/>
    </xf>
    <xf numFmtId="183" fontId="12" fillId="17" borderId="97" xfId="1" applyNumberFormat="1" applyFont="1" applyFill="1" applyBorder="1" applyAlignment="1" applyProtection="1">
      <alignment horizontal="left" vertical="top" wrapText="1"/>
      <protection locked="0"/>
    </xf>
    <xf numFmtId="183" fontId="12" fillId="17" borderId="68" xfId="0" applyNumberFormat="1" applyFont="1" applyFill="1" applyBorder="1" applyAlignment="1" applyProtection="1">
      <alignment horizontal="center" vertical="top" wrapText="1"/>
      <protection locked="0"/>
    </xf>
    <xf numFmtId="183" fontId="12" fillId="17" borderId="71" xfId="0" applyNumberFormat="1" applyFont="1" applyFill="1" applyBorder="1" applyAlignment="1" applyProtection="1">
      <alignment horizontal="center" vertical="top" wrapText="1"/>
      <protection locked="0"/>
    </xf>
    <xf numFmtId="183" fontId="12" fillId="17" borderId="69" xfId="0" applyNumberFormat="1" applyFont="1" applyFill="1" applyBorder="1" applyAlignment="1" applyProtection="1">
      <alignment horizontal="center" vertical="top" wrapText="1"/>
      <protection locked="0"/>
    </xf>
    <xf numFmtId="183" fontId="12" fillId="17" borderId="98" xfId="0" applyNumberFormat="1" applyFont="1" applyFill="1" applyBorder="1" applyAlignment="1" applyProtection="1">
      <alignment horizontal="center" vertical="top" wrapText="1"/>
      <protection locked="0"/>
    </xf>
    <xf numFmtId="183" fontId="12" fillId="17" borderId="73" xfId="0" applyNumberFormat="1" applyFont="1" applyFill="1" applyBorder="1" applyAlignment="1" applyProtection="1">
      <alignment horizontal="center" vertical="top" wrapText="1"/>
      <protection locked="0"/>
    </xf>
    <xf numFmtId="183" fontId="12" fillId="17" borderId="72" xfId="0" applyNumberFormat="1" applyFont="1" applyFill="1" applyBorder="1" applyAlignment="1" applyProtection="1">
      <alignment horizontal="center" vertical="top" wrapText="1"/>
      <protection locked="0"/>
    </xf>
    <xf numFmtId="172" fontId="12" fillId="17" borderId="76" xfId="1" applyNumberFormat="1" applyFont="1" applyFill="1" applyBorder="1" applyAlignment="1" applyProtection="1">
      <alignment horizontal="left" vertical="top" wrapText="1"/>
      <protection locked="0"/>
    </xf>
    <xf numFmtId="2" fontId="12" fillId="17" borderId="3" xfId="1" applyNumberFormat="1" applyFont="1" applyFill="1" applyBorder="1" applyAlignment="1" applyProtection="1">
      <alignment horizontal="center" vertical="top" wrapText="1"/>
      <protection locked="0"/>
    </xf>
    <xf numFmtId="2" fontId="12" fillId="17" borderId="42" xfId="1" applyNumberFormat="1" applyFont="1" applyFill="1" applyBorder="1" applyAlignment="1" applyProtection="1">
      <alignment horizontal="center" vertical="top" wrapText="1"/>
      <protection locked="0"/>
    </xf>
    <xf numFmtId="2" fontId="12" fillId="17" borderId="67" xfId="1" applyNumberFormat="1" applyFont="1" applyFill="1" applyBorder="1" applyAlignment="1" applyProtection="1">
      <alignment horizontal="center" vertical="top" wrapText="1"/>
      <protection locked="0"/>
    </xf>
    <xf numFmtId="2" fontId="12" fillId="17" borderId="1" xfId="1" applyNumberFormat="1" applyFont="1" applyFill="1" applyBorder="1" applyAlignment="1" applyProtection="1">
      <alignment horizontal="center" vertical="top" wrapText="1"/>
      <protection locked="0"/>
    </xf>
    <xf numFmtId="2" fontId="12" fillId="17" borderId="0" xfId="1" applyNumberFormat="1" applyFont="1" applyFill="1" applyBorder="1" applyAlignment="1" applyProtection="1">
      <alignment horizontal="center" vertical="top" wrapText="1"/>
      <protection locked="0"/>
    </xf>
    <xf numFmtId="2" fontId="12" fillId="17" borderId="8" xfId="1" applyNumberFormat="1" applyFont="1" applyFill="1" applyBorder="1" applyAlignment="1" applyProtection="1">
      <alignment horizontal="center" vertical="top" wrapText="1"/>
      <protection locked="0"/>
    </xf>
    <xf numFmtId="182" fontId="12" fillId="17" borderId="1" xfId="0" applyNumberFormat="1" applyFont="1" applyFill="1" applyBorder="1" applyProtection="1">
      <protection locked="0"/>
    </xf>
    <xf numFmtId="172" fontId="12" fillId="17" borderId="97" xfId="1" applyNumberFormat="1" applyFont="1" applyFill="1" applyBorder="1" applyAlignment="1" applyProtection="1">
      <alignment horizontal="left" vertical="top" wrapText="1"/>
      <protection locked="0"/>
    </xf>
    <xf numFmtId="172" fontId="12" fillId="17" borderId="71" xfId="1" applyNumberFormat="1" applyFont="1" applyFill="1" applyBorder="1" applyProtection="1">
      <protection locked="0"/>
    </xf>
    <xf numFmtId="172" fontId="12" fillId="17" borderId="69" xfId="1" applyNumberFormat="1" applyFont="1" applyFill="1" applyBorder="1" applyProtection="1">
      <protection locked="0"/>
    </xf>
    <xf numFmtId="172" fontId="12" fillId="17" borderId="98" xfId="1" applyNumberFormat="1" applyFont="1" applyFill="1" applyBorder="1" applyProtection="1">
      <protection locked="0"/>
    </xf>
    <xf numFmtId="172" fontId="12" fillId="17" borderId="107" xfId="1" applyNumberFormat="1" applyFont="1" applyFill="1" applyBorder="1" applyProtection="1">
      <protection locked="0"/>
    </xf>
    <xf numFmtId="172" fontId="12" fillId="17" borderId="97" xfId="1" applyNumberFormat="1" applyFont="1" applyFill="1" applyBorder="1" applyProtection="1">
      <protection locked="0"/>
    </xf>
    <xf numFmtId="172" fontId="12" fillId="17" borderId="3" xfId="1" applyNumberFormat="1" applyFont="1" applyFill="1" applyBorder="1" applyAlignment="1" applyProtection="1">
      <alignment horizontal="center" vertical="top" wrapText="1"/>
      <protection locked="0"/>
    </xf>
    <xf numFmtId="172" fontId="12" fillId="17" borderId="42" xfId="1" applyNumberFormat="1" applyFont="1" applyFill="1" applyBorder="1" applyAlignment="1" applyProtection="1">
      <alignment horizontal="center" vertical="top" wrapText="1"/>
      <protection locked="0"/>
    </xf>
    <xf numFmtId="172" fontId="12" fillId="17" borderId="67" xfId="1" applyNumberFormat="1" applyFont="1" applyFill="1" applyBorder="1" applyAlignment="1" applyProtection="1">
      <alignment horizontal="center" vertical="top" wrapText="1"/>
      <protection locked="0"/>
    </xf>
    <xf numFmtId="172" fontId="12" fillId="17" borderId="1" xfId="1" applyNumberFormat="1" applyFont="1" applyFill="1" applyBorder="1" applyAlignment="1" applyProtection="1">
      <alignment horizontal="center" vertical="top" wrapText="1"/>
      <protection locked="0"/>
    </xf>
    <xf numFmtId="172" fontId="12" fillId="17" borderId="0" xfId="1" applyNumberFormat="1" applyFont="1" applyFill="1" applyBorder="1" applyAlignment="1" applyProtection="1">
      <alignment horizontal="center" vertical="top" wrapText="1"/>
      <protection locked="0"/>
    </xf>
    <xf numFmtId="172" fontId="12" fillId="17" borderId="8" xfId="1" applyNumberFormat="1" applyFont="1" applyFill="1" applyBorder="1" applyAlignment="1" applyProtection="1">
      <alignment horizontal="center" vertical="top" wrapText="1"/>
      <protection locked="0"/>
    </xf>
    <xf numFmtId="172" fontId="12" fillId="17" borderId="98" xfId="1" applyNumberFormat="1" applyFont="1" applyFill="1" applyBorder="1" applyAlignment="1" applyProtection="1">
      <alignment horizontal="left" vertical="top" wrapText="1"/>
      <protection locked="0"/>
    </xf>
    <xf numFmtId="172" fontId="12" fillId="17" borderId="68" xfId="1" applyNumberFormat="1" applyFont="1" applyFill="1" applyBorder="1" applyAlignment="1" applyProtection="1">
      <alignment horizontal="center" vertical="top" wrapText="1"/>
      <protection locked="0"/>
    </xf>
    <xf numFmtId="172" fontId="12" fillId="17" borderId="71" xfId="1" applyNumberFormat="1" applyFont="1" applyFill="1" applyBorder="1" applyAlignment="1" applyProtection="1">
      <alignment horizontal="center" vertical="top" wrapText="1"/>
      <protection locked="0"/>
    </xf>
    <xf numFmtId="172" fontId="12" fillId="17" borderId="69" xfId="1" applyNumberFormat="1" applyFont="1" applyFill="1" applyBorder="1" applyAlignment="1" applyProtection="1">
      <alignment horizontal="center" vertical="top" wrapText="1"/>
      <protection locked="0"/>
    </xf>
    <xf numFmtId="172" fontId="12" fillId="17" borderId="98" xfId="1" applyNumberFormat="1" applyFont="1" applyFill="1" applyBorder="1" applyAlignment="1" applyProtection="1">
      <alignment horizontal="center" vertical="top" wrapText="1"/>
      <protection locked="0"/>
    </xf>
    <xf numFmtId="172" fontId="12" fillId="17" borderId="73" xfId="1" applyNumberFormat="1" applyFont="1" applyFill="1" applyBorder="1" applyAlignment="1" applyProtection="1">
      <alignment horizontal="center" vertical="top" wrapText="1"/>
      <protection locked="0"/>
    </xf>
    <xf numFmtId="172" fontId="12" fillId="17" borderId="72" xfId="1" applyNumberFormat="1" applyFont="1" applyFill="1" applyBorder="1" applyAlignment="1" applyProtection="1">
      <alignment horizontal="center" vertical="top" wrapText="1"/>
      <protection locked="0"/>
    </xf>
    <xf numFmtId="172" fontId="12" fillId="17" borderId="1" xfId="1" applyNumberFormat="1" applyFont="1" applyFill="1" applyBorder="1" applyAlignment="1" applyProtection="1">
      <alignment horizontal="left" vertical="top" wrapText="1"/>
      <protection locked="0"/>
    </xf>
    <xf numFmtId="175" fontId="12" fillId="17" borderId="67" xfId="0" applyNumberFormat="1" applyFont="1" applyFill="1" applyBorder="1" applyAlignment="1" applyProtection="1">
      <alignment horizontal="center" vertical="top" wrapText="1"/>
      <protection locked="0"/>
    </xf>
    <xf numFmtId="175" fontId="12" fillId="17" borderId="1" xfId="0" applyNumberFormat="1" applyFont="1" applyFill="1" applyBorder="1" applyAlignment="1" applyProtection="1">
      <alignment horizontal="center" vertical="top" wrapText="1"/>
      <protection locked="0"/>
    </xf>
    <xf numFmtId="175" fontId="12" fillId="17" borderId="3" xfId="1" applyNumberFormat="1" applyFont="1" applyFill="1" applyBorder="1" applyAlignment="1" applyProtection="1">
      <alignment horizontal="center" vertical="top" wrapText="1"/>
      <protection locked="0"/>
    </xf>
    <xf numFmtId="175" fontId="12" fillId="17" borderId="42" xfId="1" applyNumberFormat="1" applyFont="1" applyFill="1" applyBorder="1" applyAlignment="1" applyProtection="1">
      <alignment horizontal="center" vertical="top" wrapText="1"/>
      <protection locked="0"/>
    </xf>
    <xf numFmtId="175" fontId="12" fillId="17" borderId="67" xfId="1" applyNumberFormat="1" applyFont="1" applyFill="1" applyBorder="1" applyAlignment="1" applyProtection="1">
      <alignment horizontal="center" vertical="top" wrapText="1"/>
      <protection locked="0"/>
    </xf>
    <xf numFmtId="175" fontId="12" fillId="17" borderId="0" xfId="1" applyNumberFormat="1" applyFont="1" applyFill="1" applyBorder="1" applyAlignment="1" applyProtection="1">
      <alignment horizontal="center" vertical="top" wrapText="1"/>
      <protection locked="0"/>
    </xf>
    <xf numFmtId="175" fontId="12" fillId="17" borderId="8" xfId="1" applyNumberFormat="1" applyFont="1" applyFill="1" applyBorder="1" applyAlignment="1" applyProtection="1">
      <alignment horizontal="center" vertical="top" wrapText="1"/>
      <protection locked="0"/>
    </xf>
    <xf numFmtId="0" fontId="17" fillId="17" borderId="0" xfId="0" applyFont="1" applyFill="1" applyProtection="1">
      <protection locked="0"/>
    </xf>
    <xf numFmtId="0" fontId="14" fillId="17" borderId="0" xfId="0" applyNumberFormat="1" applyFont="1" applyFill="1" applyBorder="1" applyAlignment="1" applyProtection="1">
      <alignment horizontal="center"/>
      <protection locked="0"/>
    </xf>
    <xf numFmtId="0" fontId="12" fillId="17" borderId="0" xfId="0" applyNumberFormat="1" applyFont="1" applyFill="1" applyBorder="1" applyAlignment="1" applyProtection="1">
      <alignment horizontal="center"/>
      <protection locked="0"/>
    </xf>
    <xf numFmtId="0" fontId="12" fillId="17" borderId="42" xfId="0" applyNumberFormat="1" applyFont="1" applyFill="1" applyBorder="1" applyAlignment="1" applyProtection="1">
      <alignment horizontal="center"/>
      <protection locked="0"/>
    </xf>
    <xf numFmtId="0" fontId="12" fillId="17" borderId="76" xfId="0" applyNumberFormat="1" applyFont="1" applyFill="1" applyBorder="1" applyAlignment="1" applyProtection="1">
      <alignment horizontal="center"/>
      <protection locked="0"/>
    </xf>
    <xf numFmtId="0" fontId="12" fillId="17" borderId="8" xfId="0" applyNumberFormat="1" applyFont="1" applyFill="1" applyBorder="1" applyAlignment="1" applyProtection="1">
      <alignment horizontal="center"/>
      <protection locked="0"/>
    </xf>
    <xf numFmtId="183" fontId="14" fillId="17" borderId="42" xfId="0" applyNumberFormat="1" applyFont="1" applyFill="1" applyBorder="1" applyAlignment="1" applyProtection="1">
      <protection locked="0"/>
    </xf>
    <xf numFmtId="183" fontId="14" fillId="17" borderId="76" xfId="0" applyNumberFormat="1" applyFont="1" applyFill="1" applyBorder="1" applyAlignment="1" applyProtection="1">
      <protection locked="0"/>
    </xf>
    <xf numFmtId="183" fontId="12" fillId="17" borderId="0" xfId="1" applyNumberFormat="1" applyFont="1" applyFill="1" applyBorder="1" applyAlignment="1" applyProtection="1">
      <protection locked="0"/>
    </xf>
    <xf numFmtId="183" fontId="14" fillId="17" borderId="8" xfId="0" applyNumberFormat="1" applyFont="1" applyFill="1" applyBorder="1" applyAlignment="1" applyProtection="1">
      <protection locked="0"/>
    </xf>
    <xf numFmtId="183" fontId="12" fillId="17" borderId="42" xfId="0" applyNumberFormat="1" applyFont="1" applyFill="1" applyBorder="1" applyAlignment="1" applyProtection="1">
      <protection locked="0"/>
    </xf>
    <xf numFmtId="183" fontId="12" fillId="17" borderId="76" xfId="0" applyNumberFormat="1" applyFont="1" applyFill="1" applyBorder="1" applyAlignment="1" applyProtection="1">
      <protection locked="0"/>
    </xf>
    <xf numFmtId="183" fontId="12" fillId="17" borderId="8" xfId="0" applyNumberFormat="1" applyFont="1" applyFill="1" applyBorder="1" applyAlignment="1" applyProtection="1">
      <protection locked="0"/>
    </xf>
    <xf numFmtId="14" fontId="12" fillId="17" borderId="42" xfId="0" applyNumberFormat="1" applyFont="1" applyFill="1" applyBorder="1" applyAlignment="1" applyProtection="1">
      <alignment horizontal="center"/>
      <protection locked="0"/>
    </xf>
    <xf numFmtId="14" fontId="12" fillId="17" borderId="8" xfId="0" applyNumberFormat="1" applyFont="1" applyFill="1" applyBorder="1" applyAlignment="1" applyProtection="1">
      <alignment horizontal="center"/>
      <protection locked="0"/>
    </xf>
    <xf numFmtId="14" fontId="12" fillId="17" borderId="3" xfId="0" applyNumberFormat="1" applyFont="1" applyFill="1" applyBorder="1" applyAlignment="1" applyProtection="1">
      <alignment horizontal="center"/>
      <protection locked="0"/>
    </xf>
    <xf numFmtId="0" fontId="14" fillId="17" borderId="42" xfId="0" applyNumberFormat="1" applyFont="1" applyFill="1" applyBorder="1" applyAlignment="1" applyProtection="1">
      <alignment horizontal="center"/>
      <protection locked="0"/>
    </xf>
    <xf numFmtId="0" fontId="14" fillId="17" borderId="8" xfId="0" applyNumberFormat="1" applyFont="1" applyFill="1" applyBorder="1" applyAlignment="1" applyProtection="1">
      <alignment horizontal="center"/>
      <protection locked="0"/>
    </xf>
    <xf numFmtId="0" fontId="14" fillId="17" borderId="3" xfId="0" applyNumberFormat="1" applyFont="1" applyFill="1" applyBorder="1" applyAlignment="1" applyProtection="1">
      <alignment horizontal="center"/>
      <protection locked="0"/>
    </xf>
    <xf numFmtId="0" fontId="12" fillId="17" borderId="3" xfId="0" applyNumberFormat="1" applyFont="1" applyFill="1" applyBorder="1" applyAlignment="1" applyProtection="1">
      <alignment horizontal="center"/>
      <protection locked="0"/>
    </xf>
    <xf numFmtId="183" fontId="14" fillId="17" borderId="42" xfId="1" applyNumberFormat="1" applyFont="1" applyFill="1" applyBorder="1" applyAlignment="1" applyProtection="1">
      <protection locked="0"/>
    </xf>
    <xf numFmtId="183" fontId="14" fillId="17" borderId="8" xfId="1" applyNumberFormat="1" applyFont="1" applyFill="1" applyBorder="1" applyAlignment="1" applyProtection="1">
      <protection locked="0"/>
    </xf>
    <xf numFmtId="183" fontId="12" fillId="17" borderId="3" xfId="1" applyNumberFormat="1" applyFont="1" applyFill="1" applyBorder="1" applyAlignment="1" applyProtection="1">
      <protection locked="0"/>
    </xf>
    <xf numFmtId="183" fontId="12" fillId="17" borderId="42" xfId="1" applyNumberFormat="1" applyFont="1" applyFill="1" applyBorder="1" applyAlignment="1" applyProtection="1">
      <protection locked="0"/>
    </xf>
    <xf numFmtId="183" fontId="12" fillId="17" borderId="8" xfId="1" applyNumberFormat="1" applyFont="1" applyFill="1" applyBorder="1" applyAlignment="1" applyProtection="1">
      <protection locked="0"/>
    </xf>
    <xf numFmtId="181" fontId="12" fillId="17" borderId="42" xfId="1" applyNumberFormat="1" applyFont="1" applyFill="1" applyBorder="1" applyProtection="1">
      <protection locked="0"/>
    </xf>
    <xf numFmtId="181" fontId="12" fillId="17" borderId="8" xfId="1" applyNumberFormat="1" applyFont="1" applyFill="1" applyBorder="1" applyProtection="1">
      <protection locked="0"/>
    </xf>
    <xf numFmtId="181" fontId="12" fillId="17" borderId="3" xfId="1" applyNumberFormat="1" applyFont="1" applyFill="1" applyBorder="1" applyProtection="1">
      <protection locked="0"/>
    </xf>
    <xf numFmtId="183" fontId="12" fillId="17" borderId="76" xfId="1" applyNumberFormat="1" applyFont="1" applyFill="1" applyBorder="1" applyAlignment="1" applyProtection="1">
      <protection locked="0"/>
    </xf>
    <xf numFmtId="181" fontId="12" fillId="17" borderId="76" xfId="1" applyNumberFormat="1" applyFont="1" applyFill="1" applyBorder="1" applyProtection="1">
      <protection locked="0"/>
    </xf>
    <xf numFmtId="181" fontId="12" fillId="17" borderId="0" xfId="1" applyNumberFormat="1" applyFont="1" applyFill="1" applyBorder="1" applyProtection="1">
      <protection locked="0"/>
    </xf>
    <xf numFmtId="181" fontId="12" fillId="17" borderId="42" xfId="0" applyNumberFormat="1" applyFont="1" applyFill="1" applyBorder="1" applyProtection="1">
      <protection locked="0"/>
    </xf>
    <xf numFmtId="181" fontId="12" fillId="17" borderId="8" xfId="0" applyNumberFormat="1" applyFont="1" applyFill="1" applyBorder="1" applyProtection="1">
      <protection locked="0"/>
    </xf>
    <xf numFmtId="181" fontId="12" fillId="17" borderId="3" xfId="0" applyNumberFormat="1" applyFont="1" applyFill="1" applyBorder="1" applyProtection="1">
      <protection locked="0"/>
    </xf>
    <xf numFmtId="181" fontId="12" fillId="17" borderId="76" xfId="0" applyNumberFormat="1" applyFont="1" applyFill="1" applyBorder="1" applyProtection="1">
      <protection locked="0"/>
    </xf>
    <xf numFmtId="181" fontId="12" fillId="17" borderId="0" xfId="0" applyNumberFormat="1" applyFont="1" applyFill="1" applyBorder="1" applyProtection="1">
      <protection locked="0"/>
    </xf>
    <xf numFmtId="181" fontId="14" fillId="17" borderId="42" xfId="0" applyNumberFormat="1" applyFont="1" applyFill="1" applyBorder="1" applyProtection="1">
      <protection locked="0"/>
    </xf>
    <xf numFmtId="181" fontId="14" fillId="17" borderId="8" xfId="0" applyNumberFormat="1" applyFont="1" applyFill="1" applyBorder="1" applyProtection="1">
      <protection locked="0"/>
    </xf>
    <xf numFmtId="43" fontId="12" fillId="17" borderId="42" xfId="1" applyFont="1" applyFill="1" applyBorder="1" applyProtection="1">
      <protection locked="0"/>
    </xf>
    <xf numFmtId="43" fontId="12" fillId="17" borderId="8" xfId="1" applyFont="1" applyFill="1" applyBorder="1" applyProtection="1">
      <protection locked="0"/>
    </xf>
    <xf numFmtId="43" fontId="12" fillId="17" borderId="3" xfId="1" applyFont="1" applyFill="1" applyBorder="1" applyProtection="1">
      <protection locked="0"/>
    </xf>
    <xf numFmtId="43" fontId="12" fillId="17" borderId="76" xfId="1" applyFont="1" applyFill="1" applyBorder="1" applyProtection="1">
      <protection locked="0"/>
    </xf>
    <xf numFmtId="43" fontId="12" fillId="17" borderId="0" xfId="1" applyFont="1" applyFill="1" applyBorder="1" applyProtection="1">
      <protection locked="0"/>
    </xf>
    <xf numFmtId="0" fontId="12" fillId="17" borderId="0" xfId="1" applyNumberFormat="1" applyFont="1" applyFill="1" applyBorder="1" applyAlignment="1" applyProtection="1">
      <alignment horizontal="center"/>
      <protection locked="0"/>
    </xf>
    <xf numFmtId="0" fontId="12" fillId="17" borderId="8" xfId="1" applyNumberFormat="1" applyFont="1" applyFill="1" applyBorder="1" applyAlignment="1" applyProtection="1">
      <alignment horizontal="center"/>
      <protection locked="0"/>
    </xf>
    <xf numFmtId="0" fontId="12" fillId="17" borderId="3" xfId="1" applyNumberFormat="1" applyFont="1" applyFill="1" applyBorder="1" applyAlignment="1" applyProtection="1">
      <alignment horizontal="center"/>
      <protection locked="0"/>
    </xf>
    <xf numFmtId="178" fontId="12" fillId="17" borderId="42" xfId="0" applyNumberFormat="1" applyFont="1" applyFill="1" applyBorder="1" applyAlignment="1" applyProtection="1">
      <alignment horizontal="center"/>
      <protection locked="0"/>
    </xf>
    <xf numFmtId="178" fontId="12" fillId="17" borderId="8" xfId="0" applyNumberFormat="1" applyFont="1" applyFill="1" applyBorder="1" applyAlignment="1" applyProtection="1">
      <alignment horizontal="center"/>
      <protection locked="0"/>
    </xf>
    <xf numFmtId="178" fontId="12" fillId="17" borderId="3" xfId="0" applyNumberFormat="1" applyFont="1" applyFill="1" applyBorder="1" applyAlignment="1" applyProtection="1">
      <alignment horizontal="center"/>
      <protection locked="0"/>
    </xf>
    <xf numFmtId="178" fontId="12" fillId="17" borderId="0" xfId="0" applyNumberFormat="1" applyFont="1" applyFill="1" applyBorder="1" applyAlignment="1" applyProtection="1">
      <alignment horizontal="center"/>
      <protection locked="0"/>
    </xf>
    <xf numFmtId="178" fontId="12" fillId="17" borderId="42" xfId="7" applyNumberFormat="1" applyFont="1" applyFill="1" applyBorder="1" applyAlignment="1" applyProtection="1">
      <alignment horizontal="center"/>
      <protection locked="0"/>
    </xf>
    <xf numFmtId="178" fontId="12" fillId="17" borderId="8" xfId="7" applyNumberFormat="1" applyFont="1" applyFill="1" applyBorder="1" applyAlignment="1" applyProtection="1">
      <alignment horizontal="center"/>
      <protection locked="0"/>
    </xf>
    <xf numFmtId="178" fontId="12" fillId="17" borderId="3" xfId="7" applyNumberFormat="1" applyFont="1" applyFill="1" applyBorder="1" applyAlignment="1" applyProtection="1">
      <alignment horizontal="center"/>
      <protection locked="0"/>
    </xf>
    <xf numFmtId="178" fontId="12" fillId="17" borderId="76" xfId="7" applyNumberFormat="1" applyFont="1" applyFill="1" applyBorder="1" applyAlignment="1" applyProtection="1">
      <alignment horizontal="center"/>
      <protection locked="0"/>
    </xf>
    <xf numFmtId="178" fontId="12" fillId="17" borderId="0" xfId="7" applyNumberFormat="1" applyFont="1" applyFill="1" applyBorder="1" applyAlignment="1" applyProtection="1">
      <alignment horizontal="center"/>
      <protection locked="0"/>
    </xf>
    <xf numFmtId="182" fontId="12" fillId="17" borderId="42" xfId="7" applyNumberFormat="1" applyFont="1" applyFill="1" applyBorder="1" applyAlignment="1" applyProtection="1">
      <alignment horizontal="center"/>
      <protection locked="0"/>
    </xf>
    <xf numFmtId="182" fontId="12" fillId="17" borderId="8" xfId="7" applyNumberFormat="1" applyFont="1" applyFill="1" applyBorder="1" applyAlignment="1" applyProtection="1">
      <alignment horizontal="center"/>
      <protection locked="0"/>
    </xf>
    <xf numFmtId="182" fontId="12" fillId="17" borderId="3" xfId="7" applyNumberFormat="1" applyFont="1" applyFill="1" applyBorder="1" applyAlignment="1" applyProtection="1">
      <alignment horizontal="center"/>
      <protection locked="0"/>
    </xf>
    <xf numFmtId="182" fontId="12" fillId="17" borderId="76" xfId="7" applyNumberFormat="1" applyFont="1" applyFill="1" applyBorder="1" applyAlignment="1" applyProtection="1">
      <alignment horizontal="center"/>
      <protection locked="0"/>
    </xf>
    <xf numFmtId="182" fontId="12" fillId="17" borderId="0" xfId="7" applyNumberFormat="1" applyFont="1" applyFill="1" applyBorder="1" applyAlignment="1" applyProtection="1">
      <alignment horizontal="center"/>
      <protection locked="0"/>
    </xf>
    <xf numFmtId="182" fontId="12" fillId="17" borderId="46" xfId="7" applyNumberFormat="1" applyFont="1" applyFill="1" applyBorder="1" applyAlignment="1" applyProtection="1">
      <alignment horizontal="center"/>
      <protection locked="0"/>
    </xf>
    <xf numFmtId="182" fontId="12" fillId="17" borderId="49" xfId="7" applyNumberFormat="1" applyFont="1" applyFill="1" applyBorder="1" applyAlignment="1" applyProtection="1">
      <alignment horizontal="center"/>
      <protection locked="0"/>
    </xf>
    <xf numFmtId="182" fontId="12" fillId="17" borderId="50" xfId="7" applyNumberFormat="1" applyFont="1" applyFill="1" applyBorder="1" applyAlignment="1" applyProtection="1">
      <alignment horizontal="center"/>
      <protection locked="0"/>
    </xf>
    <xf numFmtId="182" fontId="12" fillId="17" borderId="79" xfId="7" applyNumberFormat="1" applyFont="1" applyFill="1" applyBorder="1" applyAlignment="1" applyProtection="1">
      <alignment horizontal="center"/>
      <protection locked="0"/>
    </xf>
    <xf numFmtId="182" fontId="12" fillId="17" borderId="48" xfId="7" applyNumberFormat="1" applyFont="1" applyFill="1" applyBorder="1" applyAlignment="1" applyProtection="1">
      <alignment horizontal="center"/>
      <protection locked="0"/>
    </xf>
    <xf numFmtId="182" fontId="12" fillId="17" borderId="49" xfId="0" applyNumberFormat="1" applyFont="1" applyFill="1" applyBorder="1" applyProtection="1">
      <protection locked="0"/>
    </xf>
    <xf numFmtId="182" fontId="12" fillId="17" borderId="71" xfId="7" applyNumberFormat="1" applyFont="1" applyFill="1" applyBorder="1" applyAlignment="1" applyProtection="1">
      <alignment horizontal="center"/>
      <protection locked="0"/>
    </xf>
    <xf numFmtId="182" fontId="12" fillId="17" borderId="72" xfId="7" applyNumberFormat="1" applyFont="1" applyFill="1" applyBorder="1" applyAlignment="1" applyProtection="1">
      <alignment horizontal="center"/>
      <protection locked="0"/>
    </xf>
    <xf numFmtId="182" fontId="12" fillId="17" borderId="68" xfId="7" applyNumberFormat="1" applyFont="1" applyFill="1" applyBorder="1" applyAlignment="1" applyProtection="1">
      <alignment horizontal="center"/>
      <protection locked="0"/>
    </xf>
    <xf numFmtId="182" fontId="12" fillId="17" borderId="97" xfId="7" applyNumberFormat="1" applyFont="1" applyFill="1" applyBorder="1" applyAlignment="1" applyProtection="1">
      <alignment horizontal="center"/>
      <protection locked="0"/>
    </xf>
    <xf numFmtId="182" fontId="12" fillId="17" borderId="73" xfId="7" applyNumberFormat="1" applyFont="1" applyFill="1" applyBorder="1" applyAlignment="1" applyProtection="1">
      <alignment horizontal="center"/>
      <protection locked="0"/>
    </xf>
    <xf numFmtId="183" fontId="12" fillId="17" borderId="76" xfId="1" applyNumberFormat="1" applyFont="1" applyFill="1" applyBorder="1" applyProtection="1">
      <protection locked="0"/>
    </xf>
    <xf numFmtId="183" fontId="12" fillId="17" borderId="76" xfId="0" applyNumberFormat="1" applyFont="1" applyFill="1" applyBorder="1" applyProtection="1">
      <protection locked="0"/>
    </xf>
    <xf numFmtId="0" fontId="12" fillId="17" borderId="42" xfId="1" applyNumberFormat="1" applyFont="1" applyFill="1" applyBorder="1" applyAlignment="1" applyProtection="1">
      <alignment horizontal="center"/>
      <protection locked="0"/>
    </xf>
    <xf numFmtId="0" fontId="12" fillId="17" borderId="76" xfId="1" applyNumberFormat="1" applyFont="1" applyFill="1" applyBorder="1" applyAlignment="1" applyProtection="1">
      <alignment horizontal="center"/>
      <protection locked="0"/>
    </xf>
    <xf numFmtId="181" fontId="14" fillId="17" borderId="76" xfId="0" applyNumberFormat="1" applyFont="1" applyFill="1" applyBorder="1" applyProtection="1">
      <protection locked="0"/>
    </xf>
    <xf numFmtId="185" fontId="12" fillId="17" borderId="42" xfId="1" applyNumberFormat="1" applyFont="1" applyFill="1" applyBorder="1" applyProtection="1">
      <protection locked="0"/>
    </xf>
    <xf numFmtId="185" fontId="12" fillId="17" borderId="76" xfId="1" applyNumberFormat="1" applyFont="1" applyFill="1" applyBorder="1" applyProtection="1">
      <protection locked="0"/>
    </xf>
    <xf numFmtId="182" fontId="12" fillId="17" borderId="46" xfId="1" applyNumberFormat="1" applyFont="1" applyFill="1" applyBorder="1" applyProtection="1">
      <protection locked="0"/>
    </xf>
    <xf numFmtId="182" fontId="12" fillId="17" borderId="79" xfId="1" applyNumberFormat="1" applyFont="1" applyFill="1" applyBorder="1" applyProtection="1">
      <protection locked="0"/>
    </xf>
    <xf numFmtId="186" fontId="12" fillId="17" borderId="42" xfId="1" applyNumberFormat="1" applyFont="1" applyFill="1" applyBorder="1" applyAlignment="1" applyProtection="1">
      <alignment vertical="top" wrapText="1"/>
      <protection locked="0"/>
    </xf>
    <xf numFmtId="186" fontId="12" fillId="17" borderId="8" xfId="1" applyNumberFormat="1" applyFont="1" applyFill="1" applyBorder="1" applyAlignment="1" applyProtection="1">
      <alignment vertical="top" wrapText="1"/>
      <protection locked="0"/>
    </xf>
    <xf numFmtId="186" fontId="12" fillId="17" borderId="3" xfId="1" applyNumberFormat="1" applyFont="1" applyFill="1" applyBorder="1" applyAlignment="1" applyProtection="1">
      <alignment vertical="top" wrapText="1"/>
      <protection locked="0"/>
    </xf>
    <xf numFmtId="186" fontId="12" fillId="17" borderId="0" xfId="1" applyNumberFormat="1" applyFont="1" applyFill="1" applyBorder="1" applyAlignment="1" applyProtection="1">
      <alignment vertical="top" wrapText="1"/>
      <protection locked="0"/>
    </xf>
    <xf numFmtId="187" fontId="12" fillId="17" borderId="1" xfId="7" applyNumberFormat="1" applyFont="1" applyFill="1" applyBorder="1" applyAlignment="1" applyProtection="1">
      <alignment vertical="top" wrapText="1"/>
      <protection locked="0"/>
    </xf>
    <xf numFmtId="182" fontId="12" fillId="17" borderId="42" xfId="0" applyNumberFormat="1" applyFont="1" applyFill="1" applyBorder="1" applyAlignment="1" applyProtection="1">
      <protection locked="0"/>
    </xf>
    <xf numFmtId="182" fontId="12" fillId="17" borderId="8" xfId="0" applyNumberFormat="1" applyFont="1" applyFill="1" applyBorder="1" applyAlignment="1" applyProtection="1">
      <protection locked="0"/>
    </xf>
    <xf numFmtId="182" fontId="12" fillId="17" borderId="3" xfId="0" applyNumberFormat="1" applyFont="1" applyFill="1" applyBorder="1" applyAlignment="1" applyProtection="1">
      <protection locked="0"/>
    </xf>
    <xf numFmtId="182" fontId="12" fillId="17" borderId="0" xfId="0" applyNumberFormat="1" applyFont="1" applyFill="1" applyBorder="1" applyAlignment="1" applyProtection="1">
      <protection locked="0"/>
    </xf>
    <xf numFmtId="182" fontId="12" fillId="17" borderId="47" xfId="0" applyNumberFormat="1" applyFont="1" applyFill="1" applyBorder="1" applyAlignment="1" applyProtection="1">
      <protection locked="0"/>
    </xf>
    <xf numFmtId="0" fontId="12" fillId="17" borderId="3" xfId="0" applyNumberFormat="1" applyFont="1" applyFill="1" applyBorder="1" applyAlignment="1" applyProtection="1">
      <alignment horizontal="left" indent="1"/>
      <protection locked="0"/>
    </xf>
    <xf numFmtId="0" fontId="12" fillId="17" borderId="67" xfId="0" applyNumberFormat="1" applyFont="1" applyFill="1" applyBorder="1" applyAlignment="1" applyProtection="1">
      <alignment horizontal="center"/>
      <protection locked="0"/>
    </xf>
    <xf numFmtId="188" fontId="12" fillId="17" borderId="76" xfId="0" applyNumberFormat="1" applyFont="1" applyFill="1" applyBorder="1" applyAlignment="1" applyProtection="1">
      <alignment horizontal="center"/>
      <protection locked="0"/>
    </xf>
    <xf numFmtId="182" fontId="12" fillId="17" borderId="76" xfId="0" applyNumberFormat="1" applyFont="1" applyFill="1" applyBorder="1" applyAlignment="1" applyProtection="1">
      <protection locked="0"/>
    </xf>
    <xf numFmtId="0" fontId="12" fillId="17" borderId="3" xfId="0" applyNumberFormat="1" applyFont="1" applyFill="1" applyBorder="1" applyAlignment="1" applyProtection="1">
      <alignment horizontal="left" indent="2"/>
      <protection locked="0"/>
    </xf>
    <xf numFmtId="182" fontId="12" fillId="17" borderId="46" xfId="0" applyNumberFormat="1" applyFont="1" applyFill="1" applyBorder="1" applyAlignment="1" applyProtection="1">
      <protection locked="0"/>
    </xf>
    <xf numFmtId="182" fontId="12" fillId="17" borderId="49" xfId="0" applyNumberFormat="1" applyFont="1" applyFill="1" applyBorder="1" applyAlignment="1" applyProtection="1">
      <protection locked="0"/>
    </xf>
    <xf numFmtId="182" fontId="12" fillId="17" borderId="50" xfId="0" applyNumberFormat="1" applyFont="1" applyFill="1" applyBorder="1" applyAlignment="1" applyProtection="1">
      <protection locked="0"/>
    </xf>
    <xf numFmtId="182" fontId="12" fillId="17" borderId="48" xfId="0" applyNumberFormat="1" applyFont="1" applyFill="1" applyBorder="1" applyAlignment="1" applyProtection="1">
      <protection locked="0"/>
    </xf>
    <xf numFmtId="182" fontId="12" fillId="17" borderId="51" xfId="0" applyNumberFormat="1" applyFont="1" applyFill="1" applyBorder="1" applyAlignment="1" applyProtection="1">
      <protection locked="0"/>
    </xf>
    <xf numFmtId="182" fontId="12" fillId="17" borderId="71" xfId="0" applyNumberFormat="1" applyFont="1" applyFill="1" applyBorder="1" applyAlignment="1" applyProtection="1">
      <protection locked="0"/>
    </xf>
    <xf numFmtId="182" fontId="12" fillId="17" borderId="72" xfId="0" applyNumberFormat="1" applyFont="1" applyFill="1" applyBorder="1" applyAlignment="1" applyProtection="1">
      <protection locked="0"/>
    </xf>
    <xf numFmtId="182" fontId="12" fillId="17" borderId="68" xfId="0" applyNumberFormat="1" applyFont="1" applyFill="1" applyBorder="1" applyAlignment="1" applyProtection="1">
      <protection locked="0"/>
    </xf>
    <xf numFmtId="182" fontId="12" fillId="17" borderId="73" xfId="0" applyNumberFormat="1" applyFont="1" applyFill="1" applyBorder="1" applyAlignment="1" applyProtection="1">
      <protection locked="0"/>
    </xf>
    <xf numFmtId="182" fontId="12" fillId="17" borderId="70" xfId="0" applyNumberFormat="1" applyFont="1" applyFill="1" applyBorder="1" applyAlignment="1" applyProtection="1">
      <protection locked="0"/>
    </xf>
    <xf numFmtId="0" fontId="17" fillId="17" borderId="3" xfId="0" applyNumberFormat="1" applyFont="1" applyFill="1" applyBorder="1" applyAlignment="1" applyProtection="1">
      <alignment horizontal="left" indent="2"/>
      <protection locked="0"/>
    </xf>
    <xf numFmtId="0" fontId="12" fillId="17" borderId="3" xfId="0" applyNumberFormat="1" applyFont="1" applyFill="1" applyBorder="1" applyAlignment="1" applyProtection="1">
      <alignment horizontal="left" wrapText="1" indent="2"/>
      <protection locked="0"/>
    </xf>
    <xf numFmtId="182" fontId="12" fillId="17" borderId="60" xfId="0" applyNumberFormat="1" applyFont="1" applyFill="1" applyBorder="1" applyAlignment="1" applyProtection="1">
      <protection locked="0"/>
    </xf>
    <xf numFmtId="182" fontId="12" fillId="17" borderId="61" xfId="0" applyNumberFormat="1" applyFont="1" applyFill="1" applyBorder="1" applyAlignment="1" applyProtection="1">
      <protection locked="0"/>
    </xf>
    <xf numFmtId="182" fontId="12" fillId="17" borderId="62" xfId="0" applyNumberFormat="1" applyFont="1" applyFill="1" applyBorder="1" applyAlignment="1" applyProtection="1">
      <protection locked="0"/>
    </xf>
    <xf numFmtId="182" fontId="12" fillId="17" borderId="42" xfId="1" applyNumberFormat="1" applyFont="1" applyFill="1" applyBorder="1" applyAlignment="1" applyProtection="1">
      <protection locked="0"/>
    </xf>
    <xf numFmtId="182" fontId="12" fillId="17" borderId="0" xfId="1" applyNumberFormat="1" applyFont="1" applyFill="1" applyBorder="1" applyAlignment="1" applyProtection="1">
      <protection locked="0"/>
    </xf>
    <xf numFmtId="182" fontId="12" fillId="17" borderId="3" xfId="1" applyNumberFormat="1" applyFont="1" applyFill="1" applyBorder="1" applyAlignment="1" applyProtection="1">
      <protection locked="0"/>
    </xf>
    <xf numFmtId="182" fontId="12" fillId="17" borderId="47" xfId="1" applyNumberFormat="1" applyFont="1" applyFill="1" applyBorder="1" applyAlignment="1" applyProtection="1">
      <protection locked="0"/>
    </xf>
    <xf numFmtId="182" fontId="12" fillId="17" borderId="8" xfId="1" applyNumberFormat="1" applyFont="1" applyFill="1" applyBorder="1" applyAlignment="1" applyProtection="1">
      <protection locked="0"/>
    </xf>
    <xf numFmtId="0" fontId="17" fillId="17" borderId="3" xfId="0" applyNumberFormat="1" applyFont="1" applyFill="1" applyBorder="1" applyAlignment="1" applyProtection="1">
      <alignment horizontal="left" indent="1"/>
      <protection locked="0"/>
    </xf>
    <xf numFmtId="0" fontId="14" fillId="17" borderId="3" xfId="0" applyNumberFormat="1" applyFont="1" applyFill="1" applyBorder="1" applyAlignment="1" applyProtection="1">
      <alignment horizontal="left" indent="1"/>
      <protection locked="0"/>
    </xf>
    <xf numFmtId="183" fontId="12" fillId="17" borderId="42" xfId="1" applyNumberFormat="1" applyFont="1" applyFill="1" applyBorder="1" applyAlignment="1" applyProtection="1">
      <alignment horizontal="center"/>
      <protection locked="0"/>
    </xf>
    <xf numFmtId="183" fontId="14" fillId="17" borderId="42" xfId="1" applyNumberFormat="1" applyFont="1" applyFill="1" applyBorder="1" applyProtection="1">
      <protection locked="0"/>
    </xf>
    <xf numFmtId="183" fontId="14" fillId="17" borderId="42" xfId="1" applyNumberFormat="1" applyFont="1" applyFill="1" applyBorder="1" applyAlignment="1" applyProtection="1">
      <alignment horizontal="center"/>
      <protection locked="0"/>
    </xf>
    <xf numFmtId="183" fontId="14" fillId="17" borderId="8" xfId="1" applyNumberFormat="1" applyFont="1" applyFill="1" applyBorder="1" applyAlignment="1" applyProtection="1">
      <alignment horizontal="center"/>
      <protection locked="0"/>
    </xf>
    <xf numFmtId="183" fontId="14" fillId="17" borderId="3" xfId="7" applyNumberFormat="1" applyFont="1" applyFill="1" applyBorder="1" applyAlignment="1" applyProtection="1">
      <alignment horizontal="center"/>
      <protection locked="0"/>
    </xf>
    <xf numFmtId="183" fontId="14" fillId="17" borderId="42" xfId="7" applyNumberFormat="1" applyFont="1" applyFill="1" applyBorder="1" applyAlignment="1" applyProtection="1">
      <alignment horizontal="center"/>
      <protection locked="0"/>
    </xf>
    <xf numFmtId="183" fontId="14" fillId="17" borderId="76" xfId="7" applyNumberFormat="1" applyFont="1" applyFill="1" applyBorder="1" applyAlignment="1" applyProtection="1">
      <alignment horizontal="center"/>
      <protection locked="0"/>
    </xf>
    <xf numFmtId="183" fontId="14" fillId="17" borderId="0" xfId="7" applyNumberFormat="1" applyFont="1" applyFill="1" applyBorder="1" applyAlignment="1" applyProtection="1">
      <alignment horizontal="center"/>
      <protection locked="0"/>
    </xf>
    <xf numFmtId="183" fontId="14" fillId="17" borderId="8" xfId="7" applyNumberFormat="1" applyFont="1" applyFill="1" applyBorder="1" applyAlignment="1" applyProtection="1">
      <alignment horizontal="center"/>
      <protection locked="0"/>
    </xf>
    <xf numFmtId="183" fontId="14" fillId="17" borderId="36" xfId="1" applyNumberFormat="1" applyFont="1" applyFill="1" applyBorder="1" applyProtection="1">
      <protection locked="0"/>
    </xf>
    <xf numFmtId="183" fontId="14" fillId="17" borderId="36" xfId="1" applyNumberFormat="1" applyFont="1" applyFill="1" applyBorder="1" applyAlignment="1" applyProtection="1">
      <alignment horizontal="center"/>
      <protection locked="0"/>
    </xf>
    <xf numFmtId="183" fontId="14" fillId="17" borderId="10" xfId="1" applyNumberFormat="1" applyFont="1" applyFill="1" applyBorder="1" applyAlignment="1" applyProtection="1">
      <alignment horizontal="center"/>
      <protection locked="0"/>
    </xf>
    <xf numFmtId="183" fontId="14" fillId="17" borderId="4" xfId="7" applyNumberFormat="1" applyFont="1" applyFill="1" applyBorder="1" applyAlignment="1" applyProtection="1">
      <alignment horizontal="center"/>
      <protection locked="0"/>
    </xf>
    <xf numFmtId="183" fontId="14" fillId="17" borderId="36" xfId="7" applyNumberFormat="1" applyFont="1" applyFill="1" applyBorder="1" applyAlignment="1" applyProtection="1">
      <alignment horizontal="center"/>
      <protection locked="0"/>
    </xf>
    <xf numFmtId="183" fontId="14" fillId="17" borderId="77" xfId="7" applyNumberFormat="1" applyFont="1" applyFill="1" applyBorder="1" applyAlignment="1" applyProtection="1">
      <alignment horizontal="center"/>
      <protection locked="0"/>
    </xf>
    <xf numFmtId="183" fontId="14" fillId="17" borderId="9" xfId="7" applyNumberFormat="1" applyFont="1" applyFill="1" applyBorder="1" applyAlignment="1" applyProtection="1">
      <alignment horizontal="center"/>
      <protection locked="0"/>
    </xf>
    <xf numFmtId="183" fontId="14" fillId="17" borderId="10" xfId="7" applyNumberFormat="1" applyFont="1" applyFill="1" applyBorder="1" applyAlignment="1" applyProtection="1">
      <alignment horizontal="center"/>
      <protection locked="0"/>
    </xf>
    <xf numFmtId="182" fontId="12" fillId="17" borderId="50" xfId="0" applyNumberFormat="1" applyFont="1" applyFill="1" applyBorder="1" applyProtection="1">
      <protection locked="0"/>
    </xf>
    <xf numFmtId="181" fontId="12" fillId="17" borderId="47" xfId="0" applyNumberFormat="1" applyFont="1" applyFill="1" applyBorder="1" applyProtection="1">
      <protection locked="0"/>
    </xf>
    <xf numFmtId="181" fontId="14" fillId="17" borderId="70" xfId="0" applyNumberFormat="1" applyFont="1" applyFill="1" applyBorder="1" applyProtection="1">
      <protection locked="0"/>
    </xf>
    <xf numFmtId="181" fontId="14" fillId="17" borderId="71" xfId="0" applyNumberFormat="1" applyFont="1" applyFill="1" applyBorder="1" applyProtection="1">
      <protection locked="0"/>
    </xf>
    <xf numFmtId="181" fontId="14" fillId="17" borderId="72" xfId="0" applyNumberFormat="1" applyFont="1" applyFill="1" applyBorder="1" applyProtection="1">
      <protection locked="0"/>
    </xf>
    <xf numFmtId="181" fontId="14" fillId="17" borderId="68" xfId="0" applyNumberFormat="1" applyFont="1" applyFill="1" applyBorder="1" applyProtection="1">
      <protection locked="0"/>
    </xf>
    <xf numFmtId="181" fontId="14" fillId="17" borderId="73" xfId="0" applyNumberFormat="1" applyFont="1" applyFill="1" applyBorder="1" applyProtection="1">
      <protection locked="0"/>
    </xf>
    <xf numFmtId="0" fontId="12" fillId="17" borderId="3" xfId="0" applyNumberFormat="1" applyFont="1" applyFill="1" applyBorder="1" applyAlignment="1" applyProtection="1">
      <protection locked="0"/>
    </xf>
    <xf numFmtId="0" fontId="12" fillId="17" borderId="42" xfId="0" applyNumberFormat="1" applyFont="1" applyFill="1" applyBorder="1" applyAlignment="1" applyProtection="1">
      <protection locked="0"/>
    </xf>
    <xf numFmtId="188" fontId="12" fillId="17" borderId="42" xfId="0" applyNumberFormat="1" applyFont="1" applyFill="1" applyBorder="1" applyAlignment="1" applyProtection="1">
      <alignment horizontal="center"/>
      <protection locked="0"/>
    </xf>
    <xf numFmtId="188" fontId="12" fillId="17" borderId="42" xfId="0" quotePrefix="1" applyNumberFormat="1" applyFont="1" applyFill="1" applyBorder="1" applyAlignment="1" applyProtection="1">
      <alignment horizontal="center"/>
      <protection locked="0"/>
    </xf>
    <xf numFmtId="0" fontId="14" fillId="17" borderId="4" xfId="0" applyNumberFormat="1" applyFont="1" applyFill="1" applyBorder="1" applyAlignment="1" applyProtection="1">
      <protection locked="0"/>
    </xf>
    <xf numFmtId="0" fontId="12" fillId="17" borderId="36" xfId="0" applyNumberFormat="1" applyFont="1" applyFill="1" applyBorder="1" applyAlignment="1" applyProtection="1">
      <alignment horizontal="center"/>
      <protection locked="0"/>
    </xf>
    <xf numFmtId="0" fontId="12" fillId="17" borderId="36" xfId="0" applyNumberFormat="1" applyFont="1" applyFill="1" applyBorder="1" applyAlignment="1" applyProtection="1">
      <protection locked="0"/>
    </xf>
    <xf numFmtId="0" fontId="12" fillId="17" borderId="36" xfId="0" applyFont="1" applyFill="1" applyBorder="1" applyAlignment="1" applyProtection="1">
      <alignment horizontal="center"/>
      <protection locked="0"/>
    </xf>
    <xf numFmtId="182" fontId="14" fillId="17" borderId="10" xfId="0" applyNumberFormat="1" applyFont="1" applyFill="1" applyBorder="1" applyProtection="1">
      <protection locked="0"/>
    </xf>
    <xf numFmtId="182" fontId="14" fillId="17" borderId="42" xfId="0" applyNumberFormat="1" applyFont="1" applyFill="1" applyBorder="1" applyAlignment="1" applyProtection="1">
      <alignment horizontal="center"/>
      <protection locked="0"/>
    </xf>
    <xf numFmtId="182" fontId="14" fillId="17" borderId="0" xfId="0" applyNumberFormat="1" applyFont="1" applyFill="1" applyBorder="1" applyAlignment="1" applyProtection="1">
      <alignment horizontal="center"/>
      <protection locked="0"/>
    </xf>
    <xf numFmtId="182" fontId="14" fillId="17" borderId="3" xfId="0" applyNumberFormat="1" applyFont="1" applyFill="1" applyBorder="1" applyAlignment="1" applyProtection="1">
      <alignment horizontal="center"/>
      <protection locked="0"/>
    </xf>
    <xf numFmtId="182" fontId="14" fillId="17" borderId="8" xfId="0" applyNumberFormat="1" applyFont="1" applyFill="1" applyBorder="1" applyAlignment="1" applyProtection="1">
      <alignment horizontal="center"/>
      <protection locked="0"/>
    </xf>
    <xf numFmtId="182" fontId="12" fillId="17" borderId="48" xfId="0" applyNumberFormat="1" applyFont="1" applyFill="1" applyBorder="1" applyProtection="1">
      <protection locked="0"/>
    </xf>
    <xf numFmtId="182" fontId="14" fillId="17" borderId="49" xfId="0" applyNumberFormat="1" applyFont="1" applyFill="1" applyBorder="1" applyProtection="1">
      <protection locked="0"/>
    </xf>
    <xf numFmtId="182" fontId="14" fillId="17" borderId="50" xfId="0" applyNumberFormat="1" applyFont="1" applyFill="1" applyBorder="1" applyProtection="1">
      <protection locked="0"/>
    </xf>
    <xf numFmtId="182" fontId="14" fillId="17" borderId="48" xfId="0" applyNumberFormat="1" applyFont="1" applyFill="1" applyBorder="1" applyProtection="1">
      <protection locked="0"/>
    </xf>
    <xf numFmtId="182" fontId="14" fillId="17" borderId="72" xfId="0" applyNumberFormat="1" applyFont="1" applyFill="1" applyBorder="1" applyProtection="1">
      <protection locked="0"/>
    </xf>
    <xf numFmtId="182" fontId="14" fillId="17" borderId="68" xfId="0" applyNumberFormat="1" applyFont="1" applyFill="1" applyBorder="1" applyProtection="1">
      <protection locked="0"/>
    </xf>
    <xf numFmtId="182" fontId="14" fillId="17" borderId="73" xfId="0" applyNumberFormat="1" applyFont="1" applyFill="1" applyBorder="1" applyProtection="1">
      <protection locked="0"/>
    </xf>
    <xf numFmtId="182" fontId="12" fillId="17" borderId="77" xfId="0" applyNumberFormat="1" applyFont="1" applyFill="1" applyBorder="1" applyProtection="1">
      <protection locked="0"/>
    </xf>
    <xf numFmtId="0" fontId="14" fillId="17" borderId="3" xfId="0" applyNumberFormat="1" applyFont="1" applyFill="1" applyBorder="1" applyAlignment="1" applyProtection="1">
      <alignment horizontal="left"/>
      <protection locked="0"/>
    </xf>
    <xf numFmtId="0" fontId="17" fillId="17" borderId="42" xfId="0" applyNumberFormat="1" applyFont="1" applyFill="1" applyBorder="1" applyAlignment="1" applyProtection="1">
      <alignment horizontal="center"/>
      <protection locked="0"/>
    </xf>
    <xf numFmtId="0" fontId="17" fillId="17" borderId="0" xfId="0" applyNumberFormat="1" applyFont="1" applyFill="1" applyBorder="1" applyAlignment="1" applyProtection="1">
      <alignment horizontal="center"/>
      <protection locked="0"/>
    </xf>
    <xf numFmtId="0" fontId="12" fillId="17" borderId="0" xfId="0" applyNumberFormat="1" applyFont="1" applyFill="1" applyBorder="1" applyProtection="1">
      <protection locked="0"/>
    </xf>
    <xf numFmtId="0" fontId="12" fillId="17" borderId="76" xfId="0" applyNumberFormat="1" applyFont="1" applyFill="1" applyBorder="1" applyProtection="1">
      <protection locked="0"/>
    </xf>
    <xf numFmtId="0" fontId="12" fillId="17" borderId="42" xfId="0" applyNumberFormat="1" applyFont="1" applyFill="1" applyBorder="1" applyProtection="1">
      <protection locked="0"/>
    </xf>
    <xf numFmtId="0" fontId="12" fillId="17" borderId="3" xfId="0" applyNumberFormat="1" applyFont="1" applyFill="1" applyBorder="1" applyProtection="1">
      <protection locked="0"/>
    </xf>
    <xf numFmtId="0" fontId="14" fillId="17" borderId="3" xfId="0" applyNumberFormat="1" applyFont="1" applyFill="1" applyBorder="1" applyProtection="1">
      <protection locked="0"/>
    </xf>
    <xf numFmtId="0" fontId="14" fillId="17" borderId="0" xfId="1" applyNumberFormat="1" applyFont="1" applyFill="1" applyBorder="1" applyAlignment="1" applyProtection="1">
      <alignment horizontal="center"/>
      <protection locked="0"/>
    </xf>
    <xf numFmtId="182" fontId="14" fillId="17" borderId="67" xfId="0" applyNumberFormat="1" applyFont="1" applyFill="1" applyBorder="1" applyAlignment="1" applyProtection="1">
      <alignment horizontal="center"/>
      <protection locked="0"/>
    </xf>
    <xf numFmtId="182" fontId="12" fillId="17" borderId="67" xfId="1" applyNumberFormat="1" applyFont="1" applyFill="1" applyBorder="1" applyProtection="1">
      <protection locked="0"/>
    </xf>
    <xf numFmtId="0" fontId="14" fillId="17" borderId="68" xfId="0" applyNumberFormat="1" applyFont="1" applyFill="1" applyBorder="1" applyAlignment="1" applyProtection="1">
      <alignment horizontal="left" indent="1"/>
      <protection locked="0"/>
    </xf>
    <xf numFmtId="183" fontId="12" fillId="17" borderId="71" xfId="1" applyNumberFormat="1" applyFont="1" applyFill="1" applyBorder="1" applyAlignment="1" applyProtection="1">
      <alignment horizontal="center"/>
      <protection locked="0"/>
    </xf>
    <xf numFmtId="0" fontId="12" fillId="17" borderId="73" xfId="1" applyNumberFormat="1" applyFont="1" applyFill="1" applyBorder="1" applyAlignment="1" applyProtection="1">
      <alignment horizontal="center"/>
      <protection locked="0"/>
    </xf>
    <xf numFmtId="182" fontId="12" fillId="17" borderId="69" xfId="0" applyNumberFormat="1" applyFont="1" applyFill="1" applyBorder="1" applyProtection="1">
      <protection locked="0"/>
    </xf>
    <xf numFmtId="0" fontId="15" fillId="17" borderId="3" xfId="0" applyNumberFormat="1" applyFont="1" applyFill="1" applyBorder="1" applyProtection="1">
      <protection locked="0"/>
    </xf>
    <xf numFmtId="0" fontId="12" fillId="17" borderId="4" xfId="0" applyNumberFormat="1" applyFont="1" applyFill="1" applyBorder="1" applyAlignment="1" applyProtection="1">
      <alignment horizontal="left" indent="1"/>
      <protection locked="0"/>
    </xf>
    <xf numFmtId="183" fontId="12" fillId="17" borderId="36" xfId="1" applyNumberFormat="1" applyFont="1" applyFill="1" applyBorder="1" applyAlignment="1" applyProtection="1">
      <alignment horizontal="center"/>
      <protection locked="0"/>
    </xf>
    <xf numFmtId="0" fontId="12" fillId="17" borderId="9" xfId="1" applyNumberFormat="1" applyFont="1" applyFill="1" applyBorder="1" applyAlignment="1" applyProtection="1">
      <alignment horizontal="center"/>
      <protection locked="0"/>
    </xf>
    <xf numFmtId="182" fontId="12" fillId="17" borderId="37" xfId="0" applyNumberFormat="1" applyFont="1" applyFill="1" applyBorder="1" applyProtection="1">
      <protection locked="0"/>
    </xf>
    <xf numFmtId="0" fontId="23" fillId="0" borderId="0" xfId="0" applyFont="1" applyProtection="1"/>
    <xf numFmtId="0" fontId="0" fillId="0" borderId="0" xfId="0" applyFont="1" applyProtection="1"/>
    <xf numFmtId="183" fontId="12" fillId="18" borderId="42" xfId="1" applyNumberFormat="1" applyFont="1" applyFill="1" applyBorder="1"/>
    <xf numFmtId="183" fontId="12" fillId="18" borderId="0" xfId="1" applyNumberFormat="1" applyFont="1" applyFill="1" applyBorder="1"/>
    <xf numFmtId="178" fontId="12" fillId="0" borderId="42" xfId="0" applyNumberFormat="1" applyFont="1" applyBorder="1" applyAlignment="1">
      <alignment horizontal="center"/>
    </xf>
    <xf numFmtId="178" fontId="12" fillId="0" borderId="76" xfId="0" applyNumberFormat="1" applyFont="1" applyBorder="1" applyAlignment="1">
      <alignment horizontal="center"/>
    </xf>
    <xf numFmtId="178" fontId="12" fillId="0" borderId="36" xfId="0" quotePrefix="1" applyNumberFormat="1" applyFont="1" applyBorder="1" applyAlignment="1">
      <alignment horizontal="center"/>
    </xf>
    <xf numFmtId="178" fontId="12" fillId="0" borderId="77" xfId="0" quotePrefix="1" applyNumberFormat="1" applyFont="1" applyBorder="1" applyAlignment="1">
      <alignment horizontal="center"/>
    </xf>
    <xf numFmtId="182" fontId="12" fillId="0" borderId="47" xfId="0" applyNumberFormat="1" applyFont="1" applyBorder="1" applyAlignment="1">
      <alignment horizontal="center"/>
    </xf>
    <xf numFmtId="178" fontId="12" fillId="0" borderId="37" xfId="0" applyNumberFormat="1" applyFont="1" applyBorder="1" applyAlignment="1">
      <alignment horizontal="center"/>
    </xf>
    <xf numFmtId="0" fontId="12" fillId="0" borderId="67" xfId="0" applyFont="1" applyBorder="1"/>
    <xf numFmtId="182" fontId="12" fillId="0" borderId="67" xfId="0" applyNumberFormat="1" applyFont="1" applyBorder="1" applyAlignment="1">
      <alignment horizontal="center"/>
    </xf>
    <xf numFmtId="178" fontId="12" fillId="0" borderId="67" xfId="0" quotePrefix="1" applyNumberFormat="1" applyFont="1" applyBorder="1" applyAlignment="1">
      <alignment horizontal="center"/>
    </xf>
    <xf numFmtId="178" fontId="12" fillId="0" borderId="37" xfId="0" quotePrefix="1" applyNumberFormat="1" applyFont="1" applyBorder="1" applyAlignment="1">
      <alignment horizontal="center"/>
    </xf>
    <xf numFmtId="178" fontId="12" fillId="0" borderId="64" xfId="0" applyNumberFormat="1" applyFont="1" applyBorder="1" applyAlignment="1">
      <alignment horizontal="center"/>
    </xf>
    <xf numFmtId="178" fontId="12" fillId="0" borderId="47" xfId="0" quotePrefix="1" applyNumberFormat="1" applyFont="1" applyBorder="1" applyAlignment="1">
      <alignment horizontal="center"/>
    </xf>
    <xf numFmtId="178" fontId="12" fillId="0" borderId="64" xfId="0" quotePrefix="1" applyNumberFormat="1" applyFont="1" applyBorder="1" applyAlignment="1">
      <alignment horizontal="center"/>
    </xf>
    <xf numFmtId="178" fontId="12" fillId="0" borderId="67" xfId="0" applyNumberFormat="1" applyFont="1" applyBorder="1" applyAlignment="1">
      <alignment horizontal="center"/>
    </xf>
    <xf numFmtId="182" fontId="12" fillId="0" borderId="37" xfId="0" quotePrefix="1" applyNumberFormat="1" applyFont="1" applyBorder="1" applyAlignment="1">
      <alignment horizontal="center"/>
    </xf>
    <xf numFmtId="178" fontId="12" fillId="0" borderId="47" xfId="0" applyNumberFormat="1" applyFont="1" applyBorder="1" applyAlignment="1">
      <alignment horizontal="center"/>
    </xf>
    <xf numFmtId="182" fontId="12" fillId="0" borderId="64" xfId="0" quotePrefix="1" applyNumberFormat="1" applyFont="1" applyBorder="1" applyAlignment="1">
      <alignment horizontal="center"/>
    </xf>
    <xf numFmtId="0" fontId="12" fillId="0" borderId="47" xfId="0" applyFont="1" applyBorder="1" applyAlignment="1">
      <alignment horizontal="center"/>
    </xf>
    <xf numFmtId="178" fontId="12" fillId="0" borderId="99" xfId="0" applyNumberFormat="1" applyFont="1" applyBorder="1" applyAlignment="1">
      <alignment horizontal="center"/>
    </xf>
    <xf numFmtId="0" fontId="30" fillId="0" borderId="12" xfId="0" applyFont="1" applyBorder="1"/>
    <xf numFmtId="0" fontId="31" fillId="0" borderId="3" xfId="0" applyFont="1" applyBorder="1"/>
    <xf numFmtId="0" fontId="32" fillId="0" borderId="3" xfId="0" applyFont="1" applyBorder="1"/>
    <xf numFmtId="0" fontId="31" fillId="0" borderId="11" xfId="0" applyFont="1" applyBorder="1" applyAlignment="1">
      <alignment horizontal="center"/>
    </xf>
    <xf numFmtId="0" fontId="31" fillId="0" borderId="6" xfId="0" applyFont="1" applyBorder="1" applyAlignment="1">
      <alignment horizontal="center"/>
    </xf>
    <xf numFmtId="0" fontId="31" fillId="0" borderId="103" xfId="0" applyFont="1" applyBorder="1" applyAlignment="1">
      <alignment horizontal="center"/>
    </xf>
    <xf numFmtId="0" fontId="31" fillId="0" borderId="43" xfId="0" applyFont="1" applyBorder="1" applyAlignment="1">
      <alignment horizontal="center"/>
    </xf>
    <xf numFmtId="0" fontId="31" fillId="0" borderId="75" xfId="0" applyFont="1" applyBorder="1"/>
    <xf numFmtId="0" fontId="31" fillId="0" borderId="103" xfId="0" applyFont="1" applyBorder="1"/>
    <xf numFmtId="0" fontId="31" fillId="0" borderId="43" xfId="0" applyFont="1" applyBorder="1"/>
    <xf numFmtId="0" fontId="31" fillId="0" borderId="1" xfId="0" applyFont="1" applyBorder="1" applyAlignment="1">
      <alignment horizontal="center"/>
    </xf>
    <xf numFmtId="0" fontId="31" fillId="0" borderId="0" xfId="0" applyFont="1" applyBorder="1" applyAlignment="1">
      <alignment horizontal="center"/>
    </xf>
    <xf numFmtId="182" fontId="31" fillId="0" borderId="99" xfId="0" applyNumberFormat="1" applyFont="1" applyBorder="1" applyAlignment="1">
      <alignment horizontal="center"/>
    </xf>
    <xf numFmtId="0" fontId="31" fillId="0" borderId="4" xfId="0" applyFont="1" applyBorder="1"/>
    <xf numFmtId="0" fontId="31" fillId="0" borderId="5" xfId="0" applyFont="1" applyBorder="1" applyAlignment="1">
      <alignment horizontal="center"/>
    </xf>
    <xf numFmtId="0" fontId="31" fillId="0" borderId="9" xfId="0" applyFont="1" applyBorder="1" applyAlignment="1">
      <alignment horizontal="center"/>
    </xf>
    <xf numFmtId="0" fontId="31" fillId="0" borderId="93" xfId="0" applyFont="1" applyBorder="1" applyAlignment="1">
      <alignment horizontal="center"/>
    </xf>
    <xf numFmtId="0" fontId="31" fillId="0" borderId="36" xfId="0" applyFont="1" applyBorder="1" applyAlignment="1">
      <alignment horizontal="center"/>
    </xf>
    <xf numFmtId="0" fontId="31" fillId="0" borderId="77" xfId="0" applyFont="1" applyBorder="1"/>
    <xf numFmtId="0" fontId="31" fillId="0" borderId="93" xfId="0" applyFont="1" applyBorder="1"/>
    <xf numFmtId="0" fontId="31" fillId="0" borderId="36" xfId="0" applyFont="1" applyBorder="1"/>
    <xf numFmtId="182" fontId="31" fillId="0" borderId="76" xfId="0" applyNumberFormat="1" applyFont="1" applyBorder="1" applyAlignment="1">
      <alignment horizontal="center"/>
    </xf>
    <xf numFmtId="0" fontId="33" fillId="0" borderId="99" xfId="0" applyFont="1" applyBorder="1" applyAlignment="1">
      <alignment horizontal="center"/>
    </xf>
    <xf numFmtId="0" fontId="33" fillId="0" borderId="76" xfId="0" applyFont="1" applyBorder="1" applyAlignment="1">
      <alignment horizontal="center"/>
    </xf>
    <xf numFmtId="172" fontId="12" fillId="18" borderId="76" xfId="1" applyNumberFormat="1" applyFont="1" applyFill="1" applyBorder="1" applyAlignment="1">
      <alignment horizontal="left" vertical="top" wrapText="1"/>
    </xf>
    <xf numFmtId="172" fontId="16" fillId="18" borderId="76" xfId="1" applyNumberFormat="1" applyFont="1" applyFill="1" applyBorder="1" applyAlignment="1">
      <alignment horizontal="left" vertical="top" wrapText="1"/>
    </xf>
    <xf numFmtId="176" fontId="12" fillId="18" borderId="42" xfId="0" applyNumberFormat="1" applyFont="1" applyFill="1" applyBorder="1" applyAlignment="1">
      <alignment horizontal="center"/>
    </xf>
    <xf numFmtId="176" fontId="12" fillId="18" borderId="76" xfId="0" applyNumberFormat="1" applyFont="1" applyFill="1" applyBorder="1" applyAlignment="1">
      <alignment horizontal="center"/>
    </xf>
    <xf numFmtId="0" fontId="12" fillId="18" borderId="42" xfId="0" applyNumberFormat="1" applyFont="1" applyFill="1" applyBorder="1" applyAlignment="1">
      <alignment horizontal="center"/>
    </xf>
    <xf numFmtId="0" fontId="12" fillId="18" borderId="8" xfId="0" applyNumberFormat="1" applyFont="1" applyFill="1" applyBorder="1" applyAlignment="1">
      <alignment horizontal="center"/>
    </xf>
    <xf numFmtId="183" fontId="12" fillId="18" borderId="42" xfId="0" applyNumberFormat="1" applyFont="1" applyFill="1" applyBorder="1" applyAlignment="1"/>
    <xf numFmtId="183" fontId="12" fillId="18" borderId="8" xfId="0" applyNumberFormat="1" applyFont="1" applyFill="1" applyBorder="1" applyAlignment="1"/>
    <xf numFmtId="176" fontId="14" fillId="18" borderId="43" xfId="0" applyNumberFormat="1" applyFont="1" applyFill="1" applyBorder="1"/>
    <xf numFmtId="176" fontId="14" fillId="18" borderId="75" xfId="0" applyNumberFormat="1" applyFont="1" applyFill="1" applyBorder="1"/>
    <xf numFmtId="176" fontId="14" fillId="18" borderId="0" xfId="0" applyNumberFormat="1" applyFont="1" applyFill="1" applyBorder="1" applyAlignment="1">
      <alignment horizontal="center"/>
    </xf>
    <xf numFmtId="176" fontId="14" fillId="18" borderId="8" xfId="0" applyNumberFormat="1" applyFont="1" applyFill="1" applyBorder="1"/>
    <xf numFmtId="14" fontId="12" fillId="18" borderId="42" xfId="0" applyNumberFormat="1" applyFont="1" applyFill="1" applyBorder="1" applyAlignment="1">
      <alignment horizontal="center"/>
    </xf>
    <xf numFmtId="14" fontId="12" fillId="18" borderId="76" xfId="0" applyNumberFormat="1" applyFont="1" applyFill="1" applyBorder="1" applyAlignment="1">
      <alignment horizontal="center"/>
    </xf>
    <xf numFmtId="14" fontId="12" fillId="18" borderId="0" xfId="0" applyNumberFormat="1" applyFont="1" applyFill="1" applyBorder="1" applyAlignment="1">
      <alignment horizontal="center"/>
    </xf>
    <xf numFmtId="14" fontId="12" fillId="18" borderId="8" xfId="0" applyNumberFormat="1" applyFont="1" applyFill="1" applyBorder="1" applyAlignment="1">
      <alignment horizontal="center"/>
    </xf>
    <xf numFmtId="176" fontId="14" fillId="18" borderId="42" xfId="0" applyNumberFormat="1" applyFont="1" applyFill="1" applyBorder="1"/>
    <xf numFmtId="176" fontId="14" fillId="18" borderId="76" xfId="0" applyNumberFormat="1" applyFont="1" applyFill="1" applyBorder="1"/>
    <xf numFmtId="176" fontId="14" fillId="18" borderId="42" xfId="0" applyNumberFormat="1" applyFont="1" applyFill="1" applyBorder="1" applyAlignment="1">
      <alignment horizontal="center"/>
    </xf>
    <xf numFmtId="176" fontId="14" fillId="18" borderId="76" xfId="0" applyNumberFormat="1" applyFont="1" applyFill="1" applyBorder="1" applyAlignment="1">
      <alignment horizontal="center"/>
    </xf>
    <xf numFmtId="0" fontId="14" fillId="18" borderId="42" xfId="0" applyNumberFormat="1" applyFont="1" applyFill="1" applyBorder="1" applyAlignment="1">
      <alignment horizontal="center"/>
    </xf>
    <xf numFmtId="0" fontId="14" fillId="18" borderId="8" xfId="0" applyNumberFormat="1" applyFont="1" applyFill="1" applyBorder="1" applyAlignment="1">
      <alignment horizontal="center"/>
    </xf>
    <xf numFmtId="43" fontId="12" fillId="18" borderId="42" xfId="1" applyFont="1" applyFill="1" applyBorder="1" applyAlignment="1">
      <alignment horizontal="center"/>
    </xf>
    <xf numFmtId="43" fontId="12" fillId="18" borderId="76" xfId="1" applyFont="1" applyFill="1" applyBorder="1" applyAlignment="1">
      <alignment horizontal="center"/>
    </xf>
    <xf numFmtId="176" fontId="12" fillId="18" borderId="42" xfId="0" applyNumberFormat="1" applyFont="1" applyFill="1" applyBorder="1"/>
    <xf numFmtId="176" fontId="12" fillId="18" borderId="76" xfId="0" applyNumberFormat="1" applyFont="1" applyFill="1" applyBorder="1"/>
    <xf numFmtId="43" fontId="12" fillId="18" borderId="8" xfId="1" applyFont="1" applyFill="1" applyBorder="1" applyAlignment="1">
      <alignment horizontal="center"/>
    </xf>
    <xf numFmtId="176" fontId="12" fillId="18" borderId="8" xfId="0" applyNumberFormat="1" applyFont="1" applyFill="1" applyBorder="1"/>
    <xf numFmtId="0" fontId="14" fillId="0" borderId="12" xfId="0" applyFont="1" applyBorder="1" applyAlignment="1">
      <alignment wrapText="1"/>
    </xf>
    <xf numFmtId="0" fontId="12" fillId="0" borderId="103" xfId="0" applyFont="1" applyBorder="1"/>
    <xf numFmtId="182" fontId="12" fillId="0" borderId="77" xfId="0" applyNumberFormat="1" applyFont="1" applyBorder="1"/>
    <xf numFmtId="182" fontId="12" fillId="0" borderId="93" xfId="0" applyNumberFormat="1" applyFont="1" applyBorder="1"/>
    <xf numFmtId="182" fontId="12" fillId="0" borderId="5" xfId="0" applyNumberFormat="1" applyFont="1" applyBorder="1"/>
    <xf numFmtId="0" fontId="6" fillId="0" borderId="0" xfId="3" applyAlignment="1" applyProtection="1">
      <alignment vertical="center"/>
    </xf>
    <xf numFmtId="0" fontId="6" fillId="0" borderId="0" xfId="3" applyAlignment="1" applyProtection="1"/>
    <xf numFmtId="183" fontId="12" fillId="0" borderId="42" xfId="1" applyNumberFormat="1" applyFont="1" applyBorder="1" applyAlignment="1" applyProtection="1">
      <alignment horizontal="center"/>
      <protection locked="0"/>
    </xf>
    <xf numFmtId="183" fontId="12" fillId="0" borderId="42" xfId="1" applyNumberFormat="1" applyFont="1" applyBorder="1" applyProtection="1">
      <protection locked="0"/>
    </xf>
    <xf numFmtId="183" fontId="12" fillId="0" borderId="42" xfId="1" applyNumberFormat="1" applyFont="1" applyFill="1" applyBorder="1" applyProtection="1">
      <protection locked="0"/>
    </xf>
    <xf numFmtId="183" fontId="12" fillId="0" borderId="0" xfId="1" applyNumberFormat="1" applyFont="1" applyFill="1" applyBorder="1" applyProtection="1">
      <protection locked="0"/>
    </xf>
    <xf numFmtId="182" fontId="12" fillId="17" borderId="107" xfId="0" applyNumberFormat="1" applyFont="1" applyFill="1" applyBorder="1" applyProtection="1">
      <protection locked="0"/>
    </xf>
    <xf numFmtId="0" fontId="16" fillId="0" borderId="11" xfId="0" applyFont="1" applyBorder="1" applyAlignment="1">
      <alignment horizontal="left"/>
    </xf>
    <xf numFmtId="0" fontId="16" fillId="0" borderId="7" xfId="0" applyFont="1" applyBorder="1" applyAlignment="1">
      <alignment horizontal="center"/>
    </xf>
    <xf numFmtId="0" fontId="41" fillId="0" borderId="3" xfId="0" applyFont="1" applyBorder="1"/>
    <xf numFmtId="0" fontId="42" fillId="0" borderId="1" xfId="0" applyFont="1" applyBorder="1" applyAlignment="1">
      <alignment horizontal="center"/>
    </xf>
    <xf numFmtId="0" fontId="43" fillId="0" borderId="99" xfId="0" applyFont="1" applyBorder="1" applyAlignment="1">
      <alignment horizontal="center"/>
    </xf>
    <xf numFmtId="0" fontId="43" fillId="0" borderId="76" xfId="0" applyFont="1" applyBorder="1" applyAlignment="1">
      <alignment horizontal="center"/>
    </xf>
    <xf numFmtId="0" fontId="44" fillId="0" borderId="0" xfId="0" applyFont="1"/>
    <xf numFmtId="0" fontId="12" fillId="0" borderId="103" xfId="0" applyFont="1" applyBorder="1" applyAlignment="1">
      <alignment horizontal="center"/>
    </xf>
    <xf numFmtId="0" fontId="12" fillId="0" borderId="93" xfId="0" applyFont="1" applyBorder="1" applyAlignment="1">
      <alignment horizontal="center"/>
    </xf>
    <xf numFmtId="0" fontId="17" fillId="0" borderId="0" xfId="0" applyNumberFormat="1" applyFont="1" applyBorder="1" applyAlignment="1" applyProtection="1">
      <alignment horizontal="left"/>
    </xf>
    <xf numFmtId="178" fontId="12" fillId="18" borderId="42" xfId="1" applyNumberFormat="1" applyFont="1" applyFill="1" applyBorder="1" applyAlignment="1">
      <alignment horizontal="center"/>
    </xf>
    <xf numFmtId="178" fontId="12" fillId="18" borderId="67" xfId="1" applyNumberFormat="1" applyFont="1" applyFill="1" applyBorder="1" applyAlignment="1">
      <alignment horizontal="center"/>
    </xf>
    <xf numFmtId="178" fontId="12" fillId="18" borderId="76" xfId="1" applyNumberFormat="1" applyFont="1" applyFill="1" applyBorder="1" applyAlignment="1">
      <alignment horizontal="center"/>
    </xf>
    <xf numFmtId="178" fontId="12" fillId="18" borderId="0" xfId="1" applyNumberFormat="1" applyFont="1" applyFill="1" applyBorder="1" applyAlignment="1">
      <alignment horizontal="center"/>
    </xf>
    <xf numFmtId="0" fontId="12" fillId="18" borderId="0" xfId="0" applyFont="1" applyFill="1" applyAlignment="1">
      <alignment horizontal="center"/>
    </xf>
    <xf numFmtId="0" fontId="12" fillId="18" borderId="0" xfId="0" applyFont="1" applyFill="1"/>
    <xf numFmtId="0" fontId="12" fillId="18" borderId="8" xfId="0" applyFont="1" applyFill="1" applyBorder="1"/>
    <xf numFmtId="0" fontId="12" fillId="18" borderId="9" xfId="0" applyFont="1" applyFill="1" applyBorder="1" applyAlignment="1">
      <alignment horizontal="center"/>
    </xf>
    <xf numFmtId="0" fontId="12" fillId="18" borderId="9" xfId="0" applyFont="1" applyFill="1" applyBorder="1"/>
    <xf numFmtId="0" fontId="12" fillId="18" borderId="10" xfId="0" applyFont="1" applyFill="1" applyBorder="1"/>
    <xf numFmtId="182" fontId="12" fillId="0" borderId="45" xfId="0" applyNumberFormat="1" applyFont="1" applyBorder="1" applyAlignment="1">
      <alignment horizontal="center"/>
    </xf>
    <xf numFmtId="182" fontId="12" fillId="0" borderId="43" xfId="0" applyNumberFormat="1" applyFont="1" applyBorder="1" applyAlignment="1">
      <alignment horizontal="center"/>
    </xf>
    <xf numFmtId="182" fontId="12" fillId="0" borderId="66" xfId="0" applyNumberFormat="1" applyFont="1" applyBorder="1" applyAlignment="1">
      <alignment horizontal="center"/>
    </xf>
    <xf numFmtId="182" fontId="12" fillId="0" borderId="75" xfId="0" applyNumberFormat="1" applyFont="1" applyBorder="1" applyAlignment="1">
      <alignment horizontal="center"/>
    </xf>
    <xf numFmtId="182" fontId="12" fillId="0" borderId="64" xfId="0" applyNumberFormat="1" applyFont="1" applyBorder="1" applyAlignment="1">
      <alignment horizontal="center"/>
    </xf>
    <xf numFmtId="182" fontId="12" fillId="0" borderId="36" xfId="0" applyNumberFormat="1" applyFont="1" applyBorder="1" applyAlignment="1">
      <alignment horizontal="center"/>
    </xf>
    <xf numFmtId="182" fontId="12" fillId="0" borderId="37" xfId="0" applyNumberFormat="1" applyFont="1" applyBorder="1"/>
    <xf numFmtId="182" fontId="12" fillId="0" borderId="64" xfId="0" applyNumberFormat="1" applyFont="1" applyBorder="1"/>
    <xf numFmtId="0" fontId="16" fillId="0" borderId="45" xfId="0" applyFont="1" applyBorder="1" applyAlignment="1">
      <alignment horizontal="center"/>
    </xf>
    <xf numFmtId="0" fontId="16" fillId="0" borderId="43" xfId="0" applyFont="1" applyBorder="1" applyAlignment="1">
      <alignment horizontal="center"/>
    </xf>
    <xf numFmtId="176" fontId="12" fillId="0" borderId="75" xfId="0" applyNumberFormat="1" applyFont="1" applyBorder="1"/>
    <xf numFmtId="178" fontId="12" fillId="0" borderId="42" xfId="7" applyNumberFormat="1" applyFont="1" applyBorder="1" applyAlignment="1">
      <alignment horizontal="center"/>
    </xf>
    <xf numFmtId="176" fontId="12" fillId="0" borderId="76" xfId="0" applyNumberFormat="1" applyFont="1" applyBorder="1"/>
    <xf numFmtId="178" fontId="12" fillId="0" borderId="47" xfId="7" applyNumberFormat="1" applyFont="1" applyBorder="1" applyAlignment="1">
      <alignment horizontal="center"/>
    </xf>
    <xf numFmtId="178" fontId="12" fillId="0" borderId="76" xfId="7" applyNumberFormat="1" applyFont="1" applyBorder="1" applyAlignment="1">
      <alignment horizontal="center"/>
    </xf>
    <xf numFmtId="182" fontId="12" fillId="18" borderId="47" xfId="0" applyNumberFormat="1" applyFont="1" applyFill="1" applyBorder="1" applyAlignment="1">
      <alignment horizontal="center"/>
    </xf>
    <xf numFmtId="182" fontId="12" fillId="18" borderId="42" xfId="0" applyNumberFormat="1" applyFont="1" applyFill="1" applyBorder="1" applyAlignment="1">
      <alignment horizontal="center"/>
    </xf>
    <xf numFmtId="182" fontId="12" fillId="18" borderId="76" xfId="0" applyNumberFormat="1" applyFont="1" applyFill="1" applyBorder="1"/>
    <xf numFmtId="182" fontId="12" fillId="18" borderId="47" xfId="0" applyNumberFormat="1" applyFont="1" applyFill="1" applyBorder="1"/>
    <xf numFmtId="182" fontId="12" fillId="18" borderId="42" xfId="0" applyNumberFormat="1" applyFont="1" applyFill="1" applyBorder="1"/>
    <xf numFmtId="0" fontId="12" fillId="0" borderId="108" xfId="0" applyFont="1" applyBorder="1" applyAlignment="1">
      <alignment horizontal="center"/>
    </xf>
    <xf numFmtId="0" fontId="12" fillId="0" borderId="109" xfId="0" applyFont="1" applyBorder="1" applyAlignment="1">
      <alignment horizontal="center"/>
    </xf>
    <xf numFmtId="176" fontId="12" fillId="0" borderId="110" xfId="0" applyNumberFormat="1" applyFont="1" applyBorder="1"/>
    <xf numFmtId="176" fontId="12" fillId="0" borderId="108" xfId="0" applyNumberFormat="1" applyFont="1" applyBorder="1"/>
    <xf numFmtId="176" fontId="12" fillId="0" borderId="109" xfId="0" applyNumberFormat="1" applyFont="1" applyBorder="1"/>
    <xf numFmtId="176" fontId="12" fillId="0" borderId="111" xfId="0" applyNumberFormat="1" applyFont="1" applyBorder="1"/>
    <xf numFmtId="176" fontId="12" fillId="0" borderId="112" xfId="0" applyNumberFormat="1" applyFont="1" applyBorder="1"/>
    <xf numFmtId="176" fontId="12" fillId="0" borderId="113" xfId="0" applyNumberFormat="1" applyFont="1" applyBorder="1"/>
    <xf numFmtId="182" fontId="14" fillId="0" borderId="114" xfId="0" applyNumberFormat="1" applyFont="1" applyBorder="1"/>
    <xf numFmtId="182" fontId="14" fillId="0" borderId="115" xfId="0" applyNumberFormat="1" applyFont="1" applyBorder="1"/>
    <xf numFmtId="182" fontId="14" fillId="0" borderId="116" xfId="0" applyNumberFormat="1" applyFont="1" applyBorder="1"/>
    <xf numFmtId="49" fontId="14" fillId="0" borderId="12" xfId="0" applyNumberFormat="1" applyFont="1" applyFill="1" applyBorder="1" applyAlignment="1">
      <alignment horizontal="center" vertical="center" wrapText="1"/>
    </xf>
    <xf numFmtId="0" fontId="14" fillId="0" borderId="45" xfId="0" applyFont="1" applyFill="1" applyBorder="1" applyAlignment="1">
      <alignment vertical="center"/>
    </xf>
    <xf numFmtId="0" fontId="14" fillId="0" borderId="64" xfId="0" applyFont="1" applyFill="1" applyBorder="1" applyAlignment="1">
      <alignment vertical="center"/>
    </xf>
    <xf numFmtId="0" fontId="12" fillId="0" borderId="47" xfId="0" applyNumberFormat="1" applyFont="1" applyBorder="1" applyAlignment="1">
      <alignment horizontal="center"/>
    </xf>
    <xf numFmtId="0" fontId="12" fillId="0" borderId="63" xfId="0" applyNumberFormat="1" applyFont="1" applyBorder="1" applyAlignment="1">
      <alignment horizontal="center"/>
    </xf>
    <xf numFmtId="0" fontId="12" fillId="0" borderId="47" xfId="0" applyNumberFormat="1" applyFont="1" applyFill="1" applyBorder="1" applyAlignment="1">
      <alignment horizontal="center"/>
    </xf>
    <xf numFmtId="0" fontId="12" fillId="0" borderId="63" xfId="0" applyNumberFormat="1" applyFont="1" applyFill="1" applyBorder="1" applyAlignment="1">
      <alignment horizontal="center"/>
    </xf>
    <xf numFmtId="0" fontId="12" fillId="0" borderId="56" xfId="0" applyNumberFormat="1" applyFont="1" applyFill="1" applyBorder="1" applyAlignment="1">
      <alignment horizontal="center"/>
    </xf>
    <xf numFmtId="182" fontId="12" fillId="0" borderId="76" xfId="0" applyNumberFormat="1" applyFont="1" applyBorder="1" applyAlignment="1" applyProtection="1">
      <alignment horizontal="right"/>
    </xf>
    <xf numFmtId="182" fontId="12" fillId="0" borderId="47" xfId="0" applyNumberFormat="1" applyFont="1" applyFill="1" applyBorder="1" applyAlignment="1" applyProtection="1">
      <alignment horizontal="right"/>
    </xf>
    <xf numFmtId="182" fontId="14" fillId="0" borderId="86" xfId="0" applyNumberFormat="1" applyFont="1" applyBorder="1" applyProtection="1"/>
    <xf numFmtId="182" fontId="12" fillId="0" borderId="99" xfId="0" applyNumberFormat="1" applyFont="1" applyBorder="1" applyAlignment="1" applyProtection="1">
      <alignment horizontal="right"/>
    </xf>
    <xf numFmtId="182" fontId="12" fillId="0" borderId="70" xfId="0" applyNumberFormat="1" applyFont="1" applyBorder="1" applyAlignment="1">
      <alignment horizontal="right"/>
    </xf>
    <xf numFmtId="0" fontId="14" fillId="0" borderId="75" xfId="0" applyFont="1" applyBorder="1" applyAlignment="1" applyProtection="1">
      <alignment horizontal="center"/>
    </xf>
    <xf numFmtId="182" fontId="14" fillId="0" borderId="86" xfId="0" applyNumberFormat="1" applyFont="1" applyBorder="1" applyAlignment="1" applyProtection="1">
      <alignment horizontal="right"/>
    </xf>
    <xf numFmtId="182" fontId="12" fillId="0" borderId="76" xfId="0" applyNumberFormat="1" applyFont="1" applyBorder="1" applyProtection="1"/>
    <xf numFmtId="182" fontId="12" fillId="0" borderId="76" xfId="0" applyNumberFormat="1" applyFont="1" applyFill="1" applyBorder="1" applyAlignment="1" applyProtection="1">
      <alignment horizontal="right"/>
    </xf>
    <xf numFmtId="182" fontId="14" fillId="0" borderId="84" xfId="0" applyNumberFormat="1" applyFont="1" applyBorder="1" applyProtection="1"/>
    <xf numFmtId="0" fontId="7" fillId="0" borderId="0" xfId="6" applyFont="1"/>
    <xf numFmtId="175" fontId="12" fillId="0" borderId="76" xfId="0" applyNumberFormat="1" applyFont="1" applyFill="1" applyBorder="1" applyAlignment="1">
      <alignment horizontal="center" vertical="top" wrapText="1"/>
    </xf>
    <xf numFmtId="182" fontId="12" fillId="0" borderId="0" xfId="1" applyNumberFormat="1" applyFont="1"/>
    <xf numFmtId="0" fontId="12" fillId="17" borderId="0" xfId="0" applyFont="1" applyFill="1" applyBorder="1" applyProtection="1">
      <protection locked="0"/>
    </xf>
    <xf numFmtId="176" fontId="14" fillId="0" borderId="60" xfId="0" applyNumberFormat="1" applyFont="1" applyBorder="1"/>
    <xf numFmtId="183" fontId="14" fillId="0" borderId="60" xfId="0" applyNumberFormat="1" applyFont="1" applyBorder="1"/>
    <xf numFmtId="0" fontId="14" fillId="0" borderId="60" xfId="0" applyNumberFormat="1" applyFont="1" applyBorder="1"/>
    <xf numFmtId="0" fontId="14" fillId="0" borderId="59" xfId="0" applyNumberFormat="1" applyFont="1" applyBorder="1"/>
    <xf numFmtId="176" fontId="14" fillId="0" borderId="63" xfId="0" applyNumberFormat="1" applyFont="1" applyBorder="1"/>
    <xf numFmtId="176" fontId="14" fillId="0" borderId="61" xfId="0" applyNumberFormat="1" applyFont="1" applyBorder="1"/>
    <xf numFmtId="0" fontId="17" fillId="17" borderId="71" xfId="0" applyNumberFormat="1" applyFont="1" applyFill="1" applyBorder="1" applyAlignment="1" applyProtection="1">
      <alignment horizontal="center"/>
      <protection locked="0"/>
    </xf>
    <xf numFmtId="0" fontId="17" fillId="17" borderId="36" xfId="0" applyNumberFormat="1" applyFont="1" applyFill="1" applyBorder="1" applyAlignment="1" applyProtection="1">
      <alignment horizontal="center"/>
      <protection locked="0"/>
    </xf>
    <xf numFmtId="0" fontId="14" fillId="0" borderId="103" xfId="0" applyNumberFormat="1" applyFont="1" applyFill="1" applyBorder="1" applyAlignment="1">
      <alignment horizontal="center"/>
    </xf>
    <xf numFmtId="0" fontId="14" fillId="0" borderId="99" xfId="0" applyNumberFormat="1" applyFont="1" applyFill="1" applyBorder="1" applyAlignment="1">
      <alignment horizontal="center"/>
    </xf>
    <xf numFmtId="0" fontId="14" fillId="17" borderId="99" xfId="0" applyNumberFormat="1" applyFont="1" applyFill="1" applyBorder="1" applyAlignment="1" applyProtection="1">
      <alignment horizontal="center"/>
      <protection locked="0"/>
    </xf>
    <xf numFmtId="0" fontId="12" fillId="17" borderId="99" xfId="0" applyNumberFormat="1" applyFont="1" applyFill="1" applyBorder="1" applyProtection="1">
      <protection locked="0"/>
    </xf>
    <xf numFmtId="0" fontId="12" fillId="17" borderId="107" xfId="0" applyNumberFormat="1" applyFont="1" applyFill="1" applyBorder="1" applyProtection="1">
      <protection locked="0"/>
    </xf>
    <xf numFmtId="0" fontId="12" fillId="0" borderId="99" xfId="0" applyNumberFormat="1" applyFont="1" applyFill="1" applyBorder="1"/>
    <xf numFmtId="0" fontId="12" fillId="17" borderId="93" xfId="0" applyNumberFormat="1" applyFont="1" applyFill="1" applyBorder="1" applyProtection="1">
      <protection locked="0"/>
    </xf>
    <xf numFmtId="0" fontId="9" fillId="0" borderId="36" xfId="0" applyFont="1" applyFill="1" applyBorder="1" applyAlignment="1">
      <alignment horizontal="left"/>
    </xf>
    <xf numFmtId="49" fontId="14" fillId="0" borderId="43" xfId="0" applyNumberFormat="1" applyFont="1" applyFill="1" applyBorder="1" applyAlignment="1">
      <alignment horizontal="center" vertical="center" wrapText="1"/>
    </xf>
    <xf numFmtId="0" fontId="14" fillId="0" borderId="36" xfId="0" applyFont="1" applyFill="1" applyBorder="1" applyAlignment="1">
      <alignment horizontal="left" vertical="center"/>
    </xf>
    <xf numFmtId="0" fontId="14" fillId="0" borderId="43" xfId="0" applyNumberFormat="1" applyFont="1" applyFill="1" applyBorder="1"/>
    <xf numFmtId="0" fontId="17" fillId="0" borderId="42" xfId="0" applyNumberFormat="1" applyFont="1" applyFill="1" applyBorder="1" applyAlignment="1">
      <alignment horizontal="left" indent="1"/>
    </xf>
    <xf numFmtId="0" fontId="14" fillId="17" borderId="42" xfId="0" applyNumberFormat="1" applyFont="1" applyFill="1" applyBorder="1" applyProtection="1">
      <protection locked="0"/>
    </xf>
    <xf numFmtId="0" fontId="12" fillId="17" borderId="42" xfId="0" applyNumberFormat="1" applyFont="1" applyFill="1" applyBorder="1" applyAlignment="1" applyProtection="1">
      <alignment horizontal="left" indent="1"/>
      <protection locked="0"/>
    </xf>
    <xf numFmtId="0" fontId="14" fillId="17" borderId="71" xfId="0" applyNumberFormat="1" applyFont="1" applyFill="1" applyBorder="1" applyAlignment="1" applyProtection="1">
      <alignment horizontal="left" indent="1"/>
      <protection locked="0"/>
    </xf>
    <xf numFmtId="0" fontId="14" fillId="0" borderId="42" xfId="0" applyNumberFormat="1" applyFont="1" applyBorder="1"/>
    <xf numFmtId="0" fontId="14" fillId="0" borderId="42" xfId="0" applyNumberFormat="1" applyFont="1" applyFill="1" applyBorder="1" applyAlignment="1">
      <alignment horizontal="left" indent="1"/>
    </xf>
    <xf numFmtId="0" fontId="15" fillId="17" borderId="42" xfId="0" applyNumberFormat="1" applyFont="1" applyFill="1" applyBorder="1" applyProtection="1">
      <protection locked="0"/>
    </xf>
    <xf numFmtId="0" fontId="17" fillId="17" borderId="42" xfId="0" applyNumberFormat="1" applyFont="1" applyFill="1" applyBorder="1" applyAlignment="1" applyProtection="1">
      <alignment horizontal="left" indent="1"/>
      <protection locked="0"/>
    </xf>
    <xf numFmtId="0" fontId="14" fillId="17" borderId="42" xfId="0" applyNumberFormat="1" applyFont="1" applyFill="1" applyBorder="1" applyAlignment="1" applyProtection="1">
      <alignment horizontal="left" indent="1"/>
      <protection locked="0"/>
    </xf>
    <xf numFmtId="0" fontId="12" fillId="17" borderId="36" xfId="0" applyNumberFormat="1" applyFont="1" applyFill="1" applyBorder="1" applyAlignment="1" applyProtection="1">
      <alignment horizontal="left" indent="1"/>
      <protection locked="0"/>
    </xf>
    <xf numFmtId="0" fontId="18" fillId="0" borderId="42" xfId="0" applyNumberFormat="1" applyFont="1" applyBorder="1"/>
    <xf numFmtId="0" fontId="17" fillId="0" borderId="42" xfId="0" applyNumberFormat="1" applyFont="1" applyBorder="1"/>
    <xf numFmtId="49" fontId="12" fillId="0" borderId="42" xfId="0" applyNumberFormat="1" applyFont="1" applyFill="1" applyBorder="1" applyAlignment="1">
      <alignment horizontal="center" vertical="center" wrapText="1"/>
    </xf>
    <xf numFmtId="176" fontId="14" fillId="0" borderId="102" xfId="0" applyNumberFormat="1" applyFont="1" applyBorder="1"/>
    <xf numFmtId="176" fontId="14" fillId="0" borderId="105" xfId="0" applyNumberFormat="1" applyFont="1" applyBorder="1"/>
    <xf numFmtId="176" fontId="14" fillId="0" borderId="56" xfId="0" applyNumberFormat="1" applyFont="1" applyBorder="1"/>
    <xf numFmtId="182" fontId="14" fillId="0" borderId="84" xfId="0" applyNumberFormat="1" applyFont="1" applyBorder="1"/>
    <xf numFmtId="176" fontId="14" fillId="0" borderId="48" xfId="0" applyNumberFormat="1" applyFont="1" applyBorder="1"/>
    <xf numFmtId="176" fontId="14" fillId="0" borderId="50" xfId="0" applyNumberFormat="1" applyFont="1" applyBorder="1"/>
    <xf numFmtId="176" fontId="14" fillId="0" borderId="59" xfId="0" applyNumberFormat="1" applyFont="1" applyBorder="1"/>
    <xf numFmtId="0" fontId="14" fillId="0" borderId="99" xfId="0" applyFont="1" applyFill="1" applyBorder="1" applyAlignment="1">
      <alignment horizontal="center" vertical="center" wrapText="1"/>
    </xf>
    <xf numFmtId="0" fontId="14" fillId="0" borderId="47" xfId="0" applyFont="1" applyFill="1" applyBorder="1" applyAlignment="1" applyProtection="1">
      <alignment horizontal="left" indent="1"/>
    </xf>
    <xf numFmtId="0" fontId="14" fillId="0" borderId="3" xfId="0" applyNumberFormat="1" applyFont="1" applyFill="1" applyBorder="1" applyAlignment="1">
      <alignment wrapText="1"/>
    </xf>
    <xf numFmtId="0" fontId="14" fillId="0" borderId="3" xfId="0" applyFont="1" applyFill="1" applyBorder="1" applyAlignment="1">
      <alignment horizontal="left" vertical="center"/>
    </xf>
    <xf numFmtId="0" fontId="14" fillId="0" borderId="47" xfId="0" applyFont="1" applyFill="1" applyBorder="1" applyAlignment="1">
      <alignment vertical="center"/>
    </xf>
    <xf numFmtId="0" fontId="14" fillId="0" borderId="6" xfId="0" applyFont="1" applyFill="1" applyBorder="1" applyAlignment="1">
      <alignment horizontal="left" vertical="center"/>
    </xf>
    <xf numFmtId="0" fontId="12" fillId="0" borderId="6" xfId="0" applyNumberFormat="1" applyFont="1" applyFill="1" applyBorder="1" applyAlignment="1">
      <alignment horizontal="center"/>
    </xf>
    <xf numFmtId="182" fontId="14" fillId="0" borderId="6" xfId="0" applyNumberFormat="1" applyFont="1" applyFill="1" applyBorder="1"/>
    <xf numFmtId="0" fontId="12" fillId="0" borderId="45" xfId="0" applyNumberFormat="1" applyFont="1" applyBorder="1" applyAlignment="1">
      <alignment horizontal="center"/>
    </xf>
    <xf numFmtId="182" fontId="12" fillId="0" borderId="7" xfId="0" applyNumberFormat="1" applyFont="1" applyBorder="1"/>
    <xf numFmtId="182" fontId="12" fillId="0" borderId="12" xfId="0" applyNumberFormat="1" applyFont="1" applyBorder="1"/>
    <xf numFmtId="182" fontId="12" fillId="0" borderId="6" xfId="0" applyNumberFormat="1" applyFont="1" applyBorder="1"/>
    <xf numFmtId="182" fontId="12" fillId="0" borderId="67" xfId="0" applyNumberFormat="1" applyFont="1" applyBorder="1"/>
    <xf numFmtId="182" fontId="14" fillId="0" borderId="102" xfId="0" applyNumberFormat="1" applyFont="1" applyBorder="1"/>
    <xf numFmtId="182" fontId="14" fillId="0" borderId="102" xfId="0" applyNumberFormat="1" applyFont="1" applyFill="1" applyBorder="1"/>
    <xf numFmtId="182" fontId="14" fillId="0" borderId="67" xfId="0" applyNumberFormat="1" applyFont="1" applyFill="1" applyBorder="1"/>
    <xf numFmtId="182" fontId="14" fillId="0" borderId="100" xfId="0" applyNumberFormat="1" applyFont="1" applyFill="1" applyBorder="1"/>
    <xf numFmtId="182" fontId="12" fillId="0" borderId="66" xfId="0" applyNumberFormat="1" applyFont="1" applyBorder="1"/>
    <xf numFmtId="0" fontId="14" fillId="0" borderId="88" xfId="0" applyFont="1" applyFill="1" applyBorder="1" applyAlignment="1">
      <alignment horizontal="center" vertical="center" wrapText="1"/>
    </xf>
    <xf numFmtId="182" fontId="14" fillId="0" borderId="87" xfId="0" applyNumberFormat="1" applyFont="1" applyBorder="1"/>
    <xf numFmtId="182" fontId="14" fillId="0" borderId="87" xfId="0" applyNumberFormat="1" applyFont="1" applyFill="1" applyBorder="1"/>
    <xf numFmtId="182" fontId="14" fillId="0" borderId="1" xfId="0" applyNumberFormat="1" applyFont="1" applyFill="1" applyBorder="1"/>
    <xf numFmtId="182" fontId="14" fillId="0" borderId="88" xfId="0" applyNumberFormat="1" applyFont="1" applyFill="1" applyBorder="1"/>
    <xf numFmtId="182" fontId="14" fillId="0" borderId="11" xfId="0" applyNumberFormat="1" applyFont="1" applyFill="1" applyBorder="1"/>
    <xf numFmtId="182" fontId="12" fillId="0" borderId="11" xfId="0" applyNumberFormat="1" applyFont="1" applyBorder="1"/>
    <xf numFmtId="0" fontId="10" fillId="17" borderId="2" xfId="0" applyFont="1" applyFill="1" applyBorder="1" applyProtection="1">
      <protection locked="0"/>
    </xf>
    <xf numFmtId="0" fontId="11" fillId="17" borderId="0" xfId="0" applyFont="1" applyFill="1" applyAlignment="1" applyProtection="1">
      <alignment horizontal="left" indent="1"/>
      <protection locked="0"/>
    </xf>
    <xf numFmtId="0" fontId="45" fillId="19" borderId="0" xfId="0" applyFont="1" applyFill="1" applyProtection="1"/>
    <xf numFmtId="0" fontId="46" fillId="19" borderId="0" xfId="0" applyFont="1" applyFill="1" applyAlignment="1" applyProtection="1">
      <alignment horizontal="right"/>
    </xf>
    <xf numFmtId="0" fontId="36" fillId="19" borderId="0" xfId="0" applyFont="1" applyFill="1" applyProtection="1"/>
    <xf numFmtId="0" fontId="47" fillId="19" borderId="0" xfId="0" applyFont="1" applyFill="1" applyProtection="1"/>
    <xf numFmtId="0" fontId="48" fillId="19" borderId="0" xfId="0" applyFont="1" applyFill="1" applyAlignment="1" applyProtection="1">
      <alignment horizontal="right"/>
    </xf>
    <xf numFmtId="49" fontId="47" fillId="19" borderId="0" xfId="0" applyNumberFormat="1" applyFont="1" applyFill="1" applyAlignment="1" applyProtection="1">
      <alignment horizontal="right"/>
    </xf>
    <xf numFmtId="49" fontId="48" fillId="19" borderId="0" xfId="0" applyNumberFormat="1" applyFont="1" applyFill="1" applyAlignment="1" applyProtection="1">
      <alignment horizontal="right"/>
    </xf>
    <xf numFmtId="0" fontId="47" fillId="19" borderId="0" xfId="0" applyFont="1" applyFill="1" applyAlignment="1" applyProtection="1">
      <alignment horizontal="right"/>
    </xf>
    <xf numFmtId="0" fontId="11" fillId="19" borderId="0" xfId="0" applyFont="1" applyFill="1" applyProtection="1">
      <protection locked="0"/>
    </xf>
    <xf numFmtId="0" fontId="7" fillId="0" borderId="10" xfId="0" applyFont="1" applyBorder="1" applyProtection="1">
      <protection hidden="1"/>
    </xf>
    <xf numFmtId="0" fontId="7" fillId="0" borderId="0" xfId="0" applyFont="1" applyProtection="1">
      <protection hidden="1"/>
    </xf>
    <xf numFmtId="0" fontId="7" fillId="0" borderId="0" xfId="0" applyFont="1" applyBorder="1" applyProtection="1">
      <protection hidden="1"/>
    </xf>
    <xf numFmtId="0" fontId="7" fillId="0" borderId="8" xfId="0" applyFont="1" applyBorder="1" applyProtection="1">
      <protection hidden="1"/>
    </xf>
    <xf numFmtId="0" fontId="32" fillId="0" borderId="0" xfId="0" applyFont="1" applyBorder="1" applyProtection="1">
      <protection hidden="1"/>
    </xf>
    <xf numFmtId="0" fontId="31" fillId="0" borderId="8" xfId="0" applyFont="1" applyBorder="1" applyProtection="1">
      <protection hidden="1"/>
    </xf>
    <xf numFmtId="0" fontId="9" fillId="0" borderId="117" xfId="0" applyFont="1" applyBorder="1" applyAlignment="1" applyProtection="1">
      <alignment horizontal="left" vertical="top" wrapText="1"/>
    </xf>
    <xf numFmtId="0" fontId="9" fillId="17" borderId="118" xfId="0" applyFont="1" applyFill="1" applyBorder="1" applyAlignment="1" applyProtection="1">
      <alignment horizontal="justify" vertical="center" wrapText="1"/>
      <protection locked="0"/>
    </xf>
    <xf numFmtId="0" fontId="7" fillId="0" borderId="0" xfId="0" applyFont="1" applyBorder="1" applyAlignment="1" applyProtection="1">
      <alignment horizontal="left" vertical="center"/>
    </xf>
    <xf numFmtId="0" fontId="7" fillId="0" borderId="0" xfId="0" applyFont="1" applyBorder="1" applyAlignment="1" applyProtection="1">
      <alignment horizontal="center" vertical="center" wrapText="1"/>
    </xf>
    <xf numFmtId="0" fontId="9" fillId="0" borderId="4" xfId="0" applyFont="1" applyFill="1" applyBorder="1" applyAlignment="1" applyProtection="1">
      <alignment horizontal="left" vertical="top" wrapText="1"/>
    </xf>
    <xf numFmtId="0" fontId="9" fillId="0" borderId="10" xfId="0" applyFont="1" applyFill="1" applyBorder="1" applyAlignment="1" applyProtection="1">
      <alignment horizontal="justify" vertical="center" wrapText="1"/>
      <protection locked="0"/>
    </xf>
    <xf numFmtId="0" fontId="9" fillId="0" borderId="12" xfId="0" applyFont="1" applyBorder="1" applyAlignment="1">
      <alignment vertical="center"/>
    </xf>
    <xf numFmtId="0" fontId="7" fillId="17" borderId="7" xfId="0" applyFont="1" applyFill="1" applyBorder="1" applyAlignment="1" applyProtection="1">
      <alignment vertical="center"/>
      <protection locked="0"/>
    </xf>
    <xf numFmtId="0" fontId="17" fillId="0" borderId="0" xfId="4" applyFont="1" applyAlignment="1" applyProtection="1"/>
    <xf numFmtId="0" fontId="7" fillId="0" borderId="0" xfId="0" applyFont="1" applyBorder="1" applyAlignment="1">
      <alignment vertical="center"/>
    </xf>
    <xf numFmtId="0" fontId="7" fillId="0" borderId="4" xfId="0" applyFont="1" applyBorder="1" applyAlignment="1">
      <alignment vertical="center"/>
    </xf>
    <xf numFmtId="0" fontId="7" fillId="0" borderId="10" xfId="0" applyFont="1" applyBorder="1" applyAlignment="1">
      <alignment vertical="center"/>
    </xf>
    <xf numFmtId="0" fontId="9" fillId="0" borderId="3" xfId="0" applyFont="1" applyFill="1" applyBorder="1" applyAlignment="1" applyProtection="1">
      <alignment horizontal="justify" vertical="center" wrapText="1"/>
    </xf>
    <xf numFmtId="0" fontId="9" fillId="0" borderId="8" xfId="0" applyFont="1" applyFill="1" applyBorder="1" applyAlignment="1" applyProtection="1">
      <alignment horizontal="justify" vertical="center" wrapText="1"/>
    </xf>
    <xf numFmtId="0" fontId="9" fillId="0" borderId="0" xfId="0" applyFont="1" applyBorder="1" applyAlignment="1" applyProtection="1">
      <alignment horizontal="justify" vertical="top" wrapText="1"/>
    </xf>
    <xf numFmtId="0" fontId="9" fillId="0" borderId="4" xfId="0" applyFont="1" applyFill="1" applyBorder="1" applyAlignment="1" applyProtection="1">
      <alignment horizontal="justify" vertical="center" wrapText="1"/>
    </xf>
    <xf numFmtId="0" fontId="9" fillId="0" borderId="10" xfId="0" applyFont="1" applyFill="1" applyBorder="1" applyAlignment="1" applyProtection="1">
      <alignment horizontal="justify" vertical="center" wrapText="1"/>
    </xf>
    <xf numFmtId="0" fontId="9" fillId="0" borderId="3" xfId="0" applyFont="1" applyFill="1" applyBorder="1" applyAlignment="1" applyProtection="1">
      <alignment horizontal="left" vertical="top" wrapText="1"/>
    </xf>
    <xf numFmtId="0" fontId="7" fillId="0" borderId="0" xfId="4" applyFont="1" applyBorder="1" applyAlignment="1" applyProtection="1"/>
    <xf numFmtId="0" fontId="9" fillId="0" borderId="0" xfId="0" applyFont="1" applyFill="1" applyBorder="1" applyAlignment="1" applyProtection="1">
      <alignment horizontal="left" vertical="top" wrapText="1"/>
      <protection locked="0"/>
    </xf>
    <xf numFmtId="0" fontId="9" fillId="0" borderId="4" xfId="0" applyFont="1" applyFill="1" applyBorder="1" applyAlignment="1" applyProtection="1">
      <alignment horizontal="justify" vertical="top" wrapText="1"/>
    </xf>
    <xf numFmtId="0" fontId="9" fillId="0" borderId="10" xfId="0" applyFont="1" applyBorder="1" applyAlignment="1" applyProtection="1">
      <alignment horizontal="justify" vertical="top" wrapText="1"/>
    </xf>
    <xf numFmtId="0" fontId="9" fillId="17" borderId="8" xfId="0" applyFont="1" applyFill="1" applyBorder="1" applyAlignment="1" applyProtection="1">
      <alignment horizontal="left" vertical="top" wrapText="1"/>
      <protection locked="0"/>
    </xf>
    <xf numFmtId="0" fontId="9" fillId="0" borderId="0" xfId="0" applyFont="1" applyFill="1" applyBorder="1" applyAlignment="1" applyProtection="1">
      <alignment horizontal="justify" vertical="top" wrapText="1"/>
    </xf>
    <xf numFmtId="0" fontId="7" fillId="0" borderId="4" xfId="0" applyFont="1" applyBorder="1" applyAlignment="1" applyProtection="1">
      <alignment horizontal="justify" vertical="top" wrapText="1"/>
    </xf>
    <xf numFmtId="0" fontId="7" fillId="0" borderId="10" xfId="0" applyFont="1" applyBorder="1" applyAlignment="1" applyProtection="1">
      <alignment horizontal="justify" vertical="top" wrapText="1"/>
    </xf>
    <xf numFmtId="0" fontId="7" fillId="0" borderId="0" xfId="0" applyFont="1" applyAlignment="1" applyProtection="1">
      <alignment vertical="center"/>
      <protection hidden="1"/>
    </xf>
    <xf numFmtId="0" fontId="9" fillId="0" borderId="117" xfId="0" applyFont="1" applyBorder="1" applyAlignment="1" applyProtection="1">
      <alignment horizontal="justify" wrapText="1"/>
    </xf>
    <xf numFmtId="0" fontId="7" fillId="0" borderId="118" xfId="0" applyFont="1" applyBorder="1" applyAlignment="1" applyProtection="1">
      <alignment horizontal="justify" wrapText="1"/>
    </xf>
    <xf numFmtId="0" fontId="7" fillId="0" borderId="17" xfId="0" applyFont="1" applyBorder="1" applyAlignment="1" applyProtection="1">
      <alignment horizontal="justify" wrapText="1"/>
    </xf>
    <xf numFmtId="0" fontId="7" fillId="17" borderId="34" xfId="0" applyFont="1" applyFill="1" applyBorder="1" applyAlignment="1" applyProtection="1">
      <alignment horizontal="justify" wrapText="1"/>
      <protection locked="0"/>
    </xf>
    <xf numFmtId="0" fontId="7" fillId="0" borderId="12" xfId="0" applyFont="1" applyBorder="1" applyAlignment="1" applyProtection="1">
      <alignment horizontal="justify" wrapText="1"/>
    </xf>
    <xf numFmtId="189" fontId="7" fillId="17" borderId="7" xfId="0" applyNumberFormat="1" applyFont="1" applyFill="1" applyBorder="1" applyAlignment="1" applyProtection="1">
      <alignment horizontal="justify" wrapText="1"/>
      <protection locked="0"/>
    </xf>
    <xf numFmtId="0" fontId="7" fillId="0" borderId="4" xfId="0" applyFont="1" applyFill="1" applyBorder="1" applyAlignment="1" applyProtection="1">
      <alignment horizontal="justify" wrapText="1"/>
    </xf>
    <xf numFmtId="189" fontId="7" fillId="0" borderId="10" xfId="0" applyNumberFormat="1" applyFont="1" applyFill="1" applyBorder="1" applyAlignment="1" applyProtection="1">
      <alignment horizontal="justify" wrapText="1"/>
      <protection locked="0"/>
    </xf>
    <xf numFmtId="0" fontId="9" fillId="0" borderId="17" xfId="0" applyFont="1" applyBorder="1" applyAlignment="1" applyProtection="1">
      <alignment horizontal="justify" wrapText="1"/>
    </xf>
    <xf numFmtId="0" fontId="7" fillId="0" borderId="34" xfId="0" applyFont="1" applyBorder="1" applyAlignment="1" applyProtection="1">
      <alignment horizontal="justify" wrapText="1"/>
    </xf>
    <xf numFmtId="0" fontId="7" fillId="0" borderId="34" xfId="0" applyFont="1" applyFill="1" applyBorder="1" applyAlignment="1" applyProtection="1">
      <alignment horizontal="justify" wrapText="1"/>
    </xf>
    <xf numFmtId="0" fontId="7" fillId="17" borderId="7" xfId="0" applyFont="1" applyFill="1" applyBorder="1" applyAlignment="1" applyProtection="1">
      <alignment horizontal="justify" wrapText="1"/>
      <protection locked="0"/>
    </xf>
    <xf numFmtId="0" fontId="7" fillId="0" borderId="10" xfId="0" applyFont="1" applyFill="1" applyBorder="1" applyAlignment="1" applyProtection="1">
      <alignment horizontal="justify" wrapText="1"/>
      <protection locked="0"/>
    </xf>
    <xf numFmtId="0" fontId="7" fillId="17" borderId="34" xfId="0" applyNumberFormat="1" applyFont="1" applyFill="1" applyBorder="1" applyAlignment="1" applyProtection="1">
      <alignment horizontal="justify" wrapText="1"/>
      <protection locked="0"/>
    </xf>
    <xf numFmtId="0" fontId="7" fillId="0" borderId="3" xfId="0" applyFont="1" applyBorder="1" applyAlignment="1" applyProtection="1">
      <alignment horizontal="justify" wrapText="1"/>
    </xf>
    <xf numFmtId="0" fontId="9" fillId="0" borderId="17" xfId="0" applyFont="1" applyBorder="1" applyAlignment="1" applyProtection="1">
      <alignment horizontal="left"/>
    </xf>
    <xf numFmtId="0" fontId="7" fillId="0" borderId="3" xfId="0" applyFont="1" applyFill="1" applyBorder="1" applyAlignment="1" applyProtection="1">
      <alignment horizontal="justify" wrapText="1"/>
    </xf>
    <xf numFmtId="0" fontId="7" fillId="0" borderId="8" xfId="0" applyFont="1" applyFill="1" applyBorder="1" applyAlignment="1" applyProtection="1">
      <alignment horizontal="justify" wrapText="1"/>
      <protection locked="0"/>
    </xf>
    <xf numFmtId="0" fontId="7" fillId="0" borderId="0" xfId="4" applyFont="1" applyAlignment="1" applyProtection="1">
      <protection hidden="1"/>
    </xf>
    <xf numFmtId="0" fontId="37" fillId="0" borderId="0" xfId="4" applyFont="1" applyAlignment="1" applyProtection="1">
      <protection hidden="1"/>
    </xf>
    <xf numFmtId="0" fontId="37" fillId="0" borderId="0" xfId="4" applyFont="1" applyAlignment="1" applyProtection="1">
      <protection locked="0" hidden="1"/>
    </xf>
    <xf numFmtId="0" fontId="7" fillId="0" borderId="0" xfId="0" applyFont="1" applyProtection="1">
      <protection locked="0" hidden="1"/>
    </xf>
    <xf numFmtId="0" fontId="9" fillId="0" borderId="0" xfId="0" applyNumberFormat="1" applyFont="1" applyFill="1" applyBorder="1" applyAlignment="1">
      <alignment horizontal="left"/>
    </xf>
    <xf numFmtId="0" fontId="14" fillId="0" borderId="0" xfId="0" applyFont="1" applyFill="1" applyBorder="1" applyAlignment="1">
      <alignment horizontal="center" vertical="center"/>
    </xf>
    <xf numFmtId="0" fontId="14" fillId="0" borderId="0" xfId="0" applyNumberFormat="1" applyFont="1" applyFill="1" applyBorder="1" applyAlignment="1">
      <alignment horizontal="center" vertical="center"/>
    </xf>
    <xf numFmtId="0" fontId="14" fillId="0" borderId="0" xfId="0" applyFont="1" applyFill="1" applyBorder="1" applyAlignment="1">
      <alignment horizontal="center" vertical="top" wrapText="1"/>
    </xf>
    <xf numFmtId="0" fontId="12" fillId="0" borderId="0" xfId="0" applyNumberFormat="1" applyFont="1" applyFill="1" applyBorder="1" applyAlignment="1">
      <alignment horizontal="left" indent="1"/>
    </xf>
    <xf numFmtId="0" fontId="12" fillId="0" borderId="0" xfId="0" applyNumberFormat="1" applyFont="1" applyFill="1" applyBorder="1" applyAlignment="1">
      <alignment horizontal="center"/>
    </xf>
    <xf numFmtId="181" fontId="12" fillId="0" borderId="0" xfId="1" applyNumberFormat="1" applyFont="1" applyFill="1" applyBorder="1"/>
    <xf numFmtId="177" fontId="14" fillId="0" borderId="0" xfId="0" applyNumberFormat="1" applyFont="1" applyFill="1" applyBorder="1"/>
    <xf numFmtId="0" fontId="12" fillId="0" borderId="0" xfId="0" quotePrefix="1" applyNumberFormat="1" applyFont="1" applyFill="1" applyBorder="1" applyAlignment="1">
      <alignment horizontal="center"/>
    </xf>
    <xf numFmtId="0" fontId="14" fillId="0" borderId="0" xfId="0" applyNumberFormat="1" applyFont="1" applyFill="1" applyBorder="1"/>
    <xf numFmtId="0" fontId="12" fillId="0" borderId="0" xfId="0" applyNumberFormat="1" applyFont="1" applyFill="1" applyBorder="1"/>
    <xf numFmtId="0" fontId="16" fillId="0" borderId="0" xfId="0" applyNumberFormat="1" applyFont="1" applyFill="1" applyBorder="1"/>
    <xf numFmtId="183" fontId="12" fillId="0" borderId="0" xfId="0" applyNumberFormat="1" applyFont="1" applyFill="1" applyBorder="1" applyProtection="1">
      <protection locked="0"/>
    </xf>
    <xf numFmtId="176" fontId="12" fillId="0" borderId="0" xfId="0" applyNumberFormat="1" applyFont="1" applyFill="1" applyBorder="1" applyProtection="1">
      <protection locked="0"/>
    </xf>
    <xf numFmtId="0" fontId="12" fillId="0" borderId="0" xfId="0" applyNumberFormat="1" applyFont="1" applyFill="1" applyBorder="1" applyAlignment="1" applyProtection="1">
      <alignment horizontal="center"/>
      <protection locked="0"/>
    </xf>
    <xf numFmtId="0" fontId="12" fillId="0" borderId="0" xfId="1" applyNumberFormat="1" applyFont="1" applyFill="1" applyBorder="1" applyAlignment="1" applyProtection="1">
      <alignment horizontal="center"/>
      <protection locked="0"/>
    </xf>
    <xf numFmtId="181" fontId="12" fillId="0" borderId="0" xfId="1" applyNumberFormat="1" applyFont="1" applyFill="1" applyBorder="1" applyProtection="1">
      <protection locked="0"/>
    </xf>
    <xf numFmtId="181" fontId="12" fillId="0" borderId="0" xfId="0" applyNumberFormat="1" applyFont="1" applyFill="1" applyBorder="1" applyProtection="1">
      <protection locked="0"/>
    </xf>
    <xf numFmtId="0" fontId="14" fillId="0" borderId="0" xfId="0" applyNumberFormat="1" applyFont="1" applyFill="1" applyBorder="1" applyAlignment="1">
      <alignment horizontal="center"/>
    </xf>
    <xf numFmtId="181" fontId="14" fillId="0" borderId="0" xfId="0" applyNumberFormat="1" applyFont="1" applyFill="1" applyBorder="1" applyProtection="1">
      <protection locked="0"/>
    </xf>
    <xf numFmtId="185" fontId="12" fillId="0" borderId="0" xfId="1" applyNumberFormat="1" applyFont="1" applyFill="1" applyBorder="1" applyProtection="1">
      <protection locked="0"/>
    </xf>
    <xf numFmtId="178" fontId="12" fillId="0" borderId="0" xfId="7" applyNumberFormat="1" applyFont="1" applyFill="1" applyBorder="1" applyAlignment="1" applyProtection="1">
      <alignment horizontal="center"/>
      <protection locked="0"/>
    </xf>
    <xf numFmtId="182" fontId="12" fillId="0" borderId="0" xfId="1" applyNumberFormat="1" applyFont="1" applyFill="1" applyBorder="1" applyProtection="1">
      <protection locked="0"/>
    </xf>
    <xf numFmtId="0" fontId="18" fillId="0" borderId="0" xfId="0" applyNumberFormat="1" applyFont="1" applyFill="1" applyBorder="1" applyProtection="1"/>
    <xf numFmtId="0" fontId="17" fillId="0" borderId="0" xfId="0" quotePrefix="1" applyNumberFormat="1" applyFont="1" applyFill="1" applyBorder="1" applyProtection="1"/>
    <xf numFmtId="0" fontId="14" fillId="0" borderId="66" xfId="0" applyFont="1" applyFill="1" applyBorder="1" applyAlignment="1">
      <alignment horizontal="center" vertical="center" wrapText="1"/>
    </xf>
    <xf numFmtId="0" fontId="5" fillId="10" borderId="0" xfId="0" applyFont="1" applyFill="1" applyAlignment="1">
      <alignment horizontal="left" indent="1"/>
    </xf>
    <xf numFmtId="0" fontId="2" fillId="0" borderId="0" xfId="0" applyFont="1" applyAlignment="1">
      <alignment horizontal="left" indent="1"/>
    </xf>
    <xf numFmtId="182" fontId="12" fillId="17" borderId="60" xfId="0" applyNumberFormat="1" applyFont="1" applyFill="1" applyBorder="1" applyAlignment="1" applyProtection="1">
      <alignment vertical="top" wrapText="1"/>
      <protection locked="0"/>
    </xf>
    <xf numFmtId="182" fontId="12" fillId="17" borderId="61" xfId="0" applyNumberFormat="1" applyFont="1" applyFill="1" applyBorder="1" applyAlignment="1" applyProtection="1">
      <alignment vertical="top" wrapText="1"/>
      <protection locked="0"/>
    </xf>
    <xf numFmtId="182" fontId="12" fillId="17" borderId="62" xfId="0" applyNumberFormat="1" applyFont="1" applyFill="1" applyBorder="1" applyAlignment="1" applyProtection="1">
      <alignment vertical="top" wrapText="1"/>
      <protection locked="0"/>
    </xf>
    <xf numFmtId="182" fontId="12" fillId="17" borderId="59" xfId="0" applyNumberFormat="1" applyFont="1" applyFill="1" applyBorder="1" applyAlignment="1" applyProtection="1">
      <alignment vertical="top" wrapText="1"/>
      <protection locked="0"/>
    </xf>
    <xf numFmtId="182" fontId="12" fillId="17" borderId="63" xfId="0" applyNumberFormat="1" applyFont="1" applyFill="1" applyBorder="1" applyAlignment="1" applyProtection="1">
      <alignment vertical="top" wrapText="1"/>
      <protection locked="0"/>
    </xf>
    <xf numFmtId="0" fontId="14" fillId="0" borderId="59" xfId="0" applyFont="1" applyFill="1" applyBorder="1" applyAlignment="1" applyProtection="1">
      <alignment vertical="top"/>
      <protection locked="0"/>
    </xf>
    <xf numFmtId="0" fontId="12" fillId="0" borderId="59" xfId="0" applyFont="1" applyFill="1" applyBorder="1" applyAlignment="1" applyProtection="1">
      <alignment vertical="top" wrapText="1"/>
      <protection locked="0"/>
    </xf>
    <xf numFmtId="0" fontId="12" fillId="0" borderId="105" xfId="0" applyFont="1" applyFill="1" applyBorder="1" applyAlignment="1" applyProtection="1">
      <alignment vertical="top" wrapText="1"/>
      <protection locked="0"/>
    </xf>
    <xf numFmtId="0" fontId="14" fillId="0" borderId="9" xfId="0" applyFont="1" applyBorder="1"/>
    <xf numFmtId="0" fontId="14" fillId="0" borderId="93" xfId="0" applyFont="1" applyBorder="1"/>
    <xf numFmtId="0" fontId="14" fillId="0" borderId="62" xfId="0" applyFont="1" applyFill="1" applyBorder="1" applyAlignment="1" applyProtection="1">
      <alignment vertical="top"/>
      <protection locked="0"/>
    </xf>
    <xf numFmtId="0" fontId="14" fillId="0" borderId="105" xfId="0" applyFont="1" applyFill="1" applyBorder="1" applyAlignment="1" applyProtection="1">
      <alignment horizontal="center" vertical="top" wrapText="1"/>
      <protection locked="0"/>
    </xf>
    <xf numFmtId="0" fontId="47" fillId="19" borderId="0" xfId="0" applyFont="1" applyFill="1" applyProtection="1">
      <protection locked="0"/>
    </xf>
    <xf numFmtId="0" fontId="47" fillId="19" borderId="3" xfId="0" applyFont="1" applyFill="1" applyBorder="1" applyAlignment="1" applyProtection="1">
      <alignment horizontal="left" indent="1"/>
      <protection locked="0"/>
    </xf>
    <xf numFmtId="0" fontId="17" fillId="17" borderId="73" xfId="0" applyNumberFormat="1" applyFont="1" applyFill="1" applyBorder="1" applyAlignment="1" applyProtection="1">
      <alignment horizontal="center"/>
      <protection locked="0"/>
    </xf>
    <xf numFmtId="0" fontId="17" fillId="17" borderId="9" xfId="0" applyNumberFormat="1" applyFont="1" applyFill="1" applyBorder="1" applyAlignment="1" applyProtection="1">
      <alignment horizontal="center"/>
      <protection locked="0"/>
    </xf>
    <xf numFmtId="0" fontId="17" fillId="0" borderId="75" xfId="0" applyNumberFormat="1" applyFont="1" applyFill="1" applyBorder="1" applyAlignment="1">
      <alignment horizontal="center"/>
    </xf>
    <xf numFmtId="0" fontId="17" fillId="0" borderId="76" xfId="0" applyNumberFormat="1" applyFont="1" applyFill="1" applyBorder="1" applyAlignment="1" applyProtection="1">
      <alignment horizontal="center"/>
    </xf>
    <xf numFmtId="0" fontId="17" fillId="0" borderId="76" xfId="0" applyNumberFormat="1" applyFont="1" applyFill="1" applyBorder="1" applyAlignment="1">
      <alignment horizontal="center"/>
    </xf>
    <xf numFmtId="0" fontId="17" fillId="17" borderId="76" xfId="0" applyNumberFormat="1" applyFont="1" applyFill="1" applyBorder="1" applyAlignment="1" applyProtection="1">
      <alignment horizontal="center"/>
      <protection locked="0"/>
    </xf>
    <xf numFmtId="0" fontId="14" fillId="0" borderId="86" xfId="0" applyNumberFormat="1" applyFont="1" applyBorder="1"/>
    <xf numFmtId="0" fontId="14" fillId="0" borderId="101" xfId="0" applyFont="1" applyFill="1" applyBorder="1" applyAlignment="1">
      <alignment horizontal="center" vertical="top" wrapText="1"/>
    </xf>
    <xf numFmtId="0" fontId="17" fillId="17" borderId="97" xfId="0" applyNumberFormat="1" applyFont="1" applyFill="1" applyBorder="1" applyAlignment="1" applyProtection="1">
      <alignment horizontal="center"/>
      <protection locked="0"/>
    </xf>
    <xf numFmtId="0" fontId="12" fillId="0" borderId="76" xfId="0" applyNumberFormat="1" applyFont="1" applyFill="1" applyBorder="1"/>
    <xf numFmtId="0" fontId="17" fillId="17" borderId="77" xfId="0" applyNumberFormat="1" applyFont="1" applyFill="1" applyBorder="1" applyAlignment="1" applyProtection="1">
      <alignment horizontal="center"/>
      <protection locked="0"/>
    </xf>
    <xf numFmtId="0" fontId="7" fillId="0" borderId="9" xfId="0" applyFont="1" applyFill="1" applyBorder="1" applyAlignment="1">
      <alignment horizontal="center"/>
    </xf>
    <xf numFmtId="0" fontId="12" fillId="0" borderId="7" xfId="0" applyNumberFormat="1" applyFont="1" applyBorder="1" applyAlignment="1">
      <alignment horizontal="left" vertical="top" wrapText="1"/>
    </xf>
    <xf numFmtId="0" fontId="12" fillId="17" borderId="8" xfId="0" applyNumberFormat="1" applyFont="1" applyFill="1" applyBorder="1" applyAlignment="1" applyProtection="1">
      <alignment horizontal="left" vertical="top" wrapText="1"/>
      <protection locked="0"/>
    </xf>
    <xf numFmtId="0" fontId="12" fillId="17" borderId="72" xfId="0" applyNumberFormat="1" applyFont="1" applyFill="1" applyBorder="1" applyAlignment="1" applyProtection="1">
      <alignment horizontal="left" vertical="top" wrapText="1"/>
      <protection locked="0"/>
    </xf>
    <xf numFmtId="0" fontId="16" fillId="0" borderId="8" xfId="0" applyNumberFormat="1" applyFont="1" applyBorder="1" applyAlignment="1">
      <alignment horizontal="left" wrapText="1"/>
    </xf>
    <xf numFmtId="0" fontId="12" fillId="0" borderId="8" xfId="0" applyNumberFormat="1" applyFont="1" applyBorder="1" applyAlignment="1">
      <alignment horizontal="left" vertical="top" wrapText="1"/>
    </xf>
    <xf numFmtId="0" fontId="12" fillId="0" borderId="98" xfId="0" applyNumberFormat="1" applyFont="1" applyFill="1" applyBorder="1" applyAlignment="1" applyProtection="1">
      <alignment horizontal="center" vertical="top" wrapText="1"/>
    </xf>
    <xf numFmtId="0" fontId="12" fillId="0" borderId="72" xfId="0" applyNumberFormat="1" applyFont="1" applyFill="1" applyBorder="1" applyAlignment="1" applyProtection="1">
      <alignment horizontal="left" vertical="top" wrapText="1"/>
    </xf>
    <xf numFmtId="0" fontId="14" fillId="0" borderId="3" xfId="0" applyNumberFormat="1" applyFont="1" applyFill="1" applyBorder="1" applyAlignment="1" applyProtection="1">
      <alignment horizontal="left" vertical="top" wrapText="1" indent="1"/>
      <protection locked="0"/>
    </xf>
    <xf numFmtId="0" fontId="12" fillId="0" borderId="1" xfId="0" applyNumberFormat="1" applyFont="1" applyFill="1" applyBorder="1" applyAlignment="1" applyProtection="1">
      <alignment horizontal="center" vertical="top" wrapText="1"/>
      <protection locked="0"/>
    </xf>
    <xf numFmtId="0" fontId="12" fillId="0" borderId="8" xfId="0" applyNumberFormat="1" applyFont="1" applyFill="1" applyBorder="1" applyAlignment="1" applyProtection="1">
      <alignment horizontal="left" vertical="top" wrapText="1"/>
      <protection locked="0"/>
    </xf>
    <xf numFmtId="172" fontId="12" fillId="0" borderId="76" xfId="1" applyNumberFormat="1" applyFont="1" applyFill="1" applyBorder="1" applyAlignment="1" applyProtection="1">
      <alignment horizontal="left" vertical="top" wrapText="1"/>
    </xf>
    <xf numFmtId="172" fontId="12" fillId="0" borderId="3" xfId="1" applyNumberFormat="1" applyFont="1" applyFill="1" applyBorder="1" applyAlignment="1" applyProtection="1">
      <alignment horizontal="center" vertical="top" wrapText="1"/>
    </xf>
    <xf numFmtId="172" fontId="12" fillId="0" borderId="42" xfId="1" applyNumberFormat="1" applyFont="1" applyFill="1" applyBorder="1" applyAlignment="1" applyProtection="1">
      <alignment horizontal="center" vertical="top" wrapText="1"/>
    </xf>
    <xf numFmtId="172" fontId="12" fillId="0" borderId="67" xfId="1" applyNumberFormat="1" applyFont="1" applyFill="1" applyBorder="1" applyAlignment="1" applyProtection="1">
      <alignment horizontal="center" vertical="top" wrapText="1"/>
    </xf>
    <xf numFmtId="172" fontId="12" fillId="0" borderId="1" xfId="1" applyNumberFormat="1" applyFont="1" applyFill="1" applyBorder="1" applyAlignment="1" applyProtection="1">
      <alignment horizontal="center" vertical="top" wrapText="1"/>
    </xf>
    <xf numFmtId="172" fontId="12" fillId="0" borderId="0" xfId="1" applyNumberFormat="1" applyFont="1" applyFill="1" applyBorder="1" applyAlignment="1" applyProtection="1">
      <alignment horizontal="center" vertical="top" wrapText="1"/>
    </xf>
    <xf numFmtId="172" fontId="12" fillId="0" borderId="8" xfId="1" applyNumberFormat="1" applyFont="1" applyFill="1" applyBorder="1" applyAlignment="1" applyProtection="1">
      <alignment horizontal="center" vertical="top" wrapText="1"/>
    </xf>
    <xf numFmtId="0" fontId="14" fillId="0" borderId="68" xfId="0" applyNumberFormat="1" applyFont="1" applyFill="1" applyBorder="1" applyAlignment="1" applyProtection="1">
      <alignment horizontal="left" vertical="top" wrapText="1" indent="1"/>
      <protection locked="0"/>
    </xf>
    <xf numFmtId="0" fontId="12" fillId="0" borderId="98" xfId="0" applyNumberFormat="1" applyFont="1" applyFill="1" applyBorder="1" applyAlignment="1" applyProtection="1">
      <alignment horizontal="center" vertical="top" wrapText="1"/>
      <protection locked="0"/>
    </xf>
    <xf numFmtId="0" fontId="12" fillId="0" borderId="72" xfId="0" applyNumberFormat="1" applyFont="1" applyFill="1" applyBorder="1" applyAlignment="1" applyProtection="1">
      <alignment horizontal="left" vertical="top" wrapText="1"/>
      <protection locked="0"/>
    </xf>
    <xf numFmtId="172" fontId="12" fillId="0" borderId="87" xfId="1" applyNumberFormat="1" applyFont="1" applyFill="1" applyBorder="1" applyAlignment="1" applyProtection="1">
      <alignment horizontal="left" vertical="top" wrapText="1"/>
    </xf>
    <xf numFmtId="172" fontId="12" fillId="0" borderId="86" xfId="1" applyNumberFormat="1" applyFont="1" applyFill="1" applyBorder="1" applyAlignment="1" applyProtection="1">
      <alignment horizontal="left" vertical="top" wrapText="1"/>
    </xf>
    <xf numFmtId="172" fontId="12" fillId="0" borderId="62" xfId="1" applyNumberFormat="1" applyFont="1" applyFill="1" applyBorder="1" applyAlignment="1" applyProtection="1">
      <alignment horizontal="center" vertical="top" wrapText="1"/>
    </xf>
    <xf numFmtId="172" fontId="12" fillId="0" borderId="60" xfId="1" applyNumberFormat="1" applyFont="1" applyFill="1" applyBorder="1" applyAlignment="1" applyProtection="1">
      <alignment horizontal="center" vertical="top" wrapText="1"/>
    </xf>
    <xf numFmtId="172" fontId="12" fillId="0" borderId="102" xfId="1" applyNumberFormat="1" applyFont="1" applyFill="1" applyBorder="1" applyAlignment="1" applyProtection="1">
      <alignment horizontal="center" vertical="top" wrapText="1"/>
    </xf>
    <xf numFmtId="172" fontId="12" fillId="0" borderId="87" xfId="1" applyNumberFormat="1" applyFont="1" applyFill="1" applyBorder="1" applyAlignment="1" applyProtection="1">
      <alignment horizontal="center" vertical="top" wrapText="1"/>
    </xf>
    <xf numFmtId="172" fontId="12" fillId="0" borderId="59" xfId="1" applyNumberFormat="1" applyFont="1" applyFill="1" applyBorder="1" applyAlignment="1" applyProtection="1">
      <alignment horizontal="center" vertical="top" wrapText="1"/>
    </xf>
    <xf numFmtId="172" fontId="12" fillId="0" borderId="61" xfId="1" applyNumberFormat="1" applyFont="1" applyFill="1" applyBorder="1" applyAlignment="1" applyProtection="1">
      <alignment horizontal="center" vertical="top" wrapText="1"/>
    </xf>
    <xf numFmtId="0" fontId="12" fillId="0" borderId="5" xfId="0" applyFont="1" applyBorder="1" applyAlignment="1">
      <alignment horizontal="center" vertical="top" wrapText="1"/>
    </xf>
    <xf numFmtId="0" fontId="12" fillId="0" borderId="10" xfId="0" applyFont="1" applyBorder="1" applyAlignment="1">
      <alignment horizontal="left" vertical="top" wrapText="1"/>
    </xf>
    <xf numFmtId="0" fontId="27" fillId="0" borderId="0" xfId="0" applyFont="1"/>
    <xf numFmtId="182" fontId="7" fillId="0" borderId="11" xfId="0" applyNumberFormat="1" applyFont="1" applyFill="1" applyBorder="1" applyAlignment="1" applyProtection="1">
      <alignment horizontal="center"/>
      <protection locked="0"/>
    </xf>
    <xf numFmtId="0" fontId="12" fillId="0" borderId="6" xfId="0" applyFont="1" applyBorder="1"/>
    <xf numFmtId="0" fontId="12" fillId="0" borderId="7" xfId="0" applyFont="1" applyBorder="1"/>
    <xf numFmtId="0" fontId="14" fillId="0" borderId="92" xfId="0" applyFont="1" applyFill="1" applyBorder="1" applyAlignment="1" applyProtection="1">
      <alignment horizontal="center" vertical="center" wrapText="1"/>
    </xf>
    <xf numFmtId="0" fontId="12" fillId="0" borderId="5" xfId="0" applyFont="1" applyFill="1" applyBorder="1" applyAlignment="1">
      <alignment horizontal="center"/>
    </xf>
    <xf numFmtId="0" fontId="14" fillId="0" borderId="47" xfId="0" applyFont="1" applyFill="1" applyBorder="1" applyAlignment="1" applyProtection="1">
      <alignment horizontal="center" vertical="center" wrapText="1"/>
    </xf>
    <xf numFmtId="0" fontId="14" fillId="0" borderId="42"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wrapText="1"/>
    </xf>
    <xf numFmtId="0" fontId="12" fillId="0" borderId="1" xfId="0" applyFont="1" applyFill="1" applyBorder="1" applyAlignment="1">
      <alignment horizontal="center"/>
    </xf>
    <xf numFmtId="0" fontId="16" fillId="0" borderId="0" xfId="0" applyNumberFormat="1" applyFont="1" applyBorder="1" applyProtection="1"/>
    <xf numFmtId="182" fontId="7" fillId="0" borderId="43" xfId="0" applyNumberFormat="1" applyFont="1" applyFill="1" applyBorder="1" applyProtection="1">
      <protection locked="0"/>
    </xf>
    <xf numFmtId="182" fontId="7" fillId="0" borderId="75" xfId="0" applyNumberFormat="1" applyFont="1" applyFill="1" applyBorder="1" applyProtection="1">
      <protection locked="0"/>
    </xf>
    <xf numFmtId="182" fontId="14" fillId="0" borderId="12" xfId="0" applyNumberFormat="1" applyFont="1" applyFill="1" applyBorder="1" applyProtection="1"/>
    <xf numFmtId="182" fontId="14" fillId="0" borderId="43" xfId="0" applyNumberFormat="1" applyFont="1" applyFill="1" applyBorder="1" applyProtection="1"/>
    <xf numFmtId="182" fontId="14" fillId="0" borderId="6" xfId="0" applyNumberFormat="1" applyFont="1" applyFill="1" applyBorder="1" applyProtection="1"/>
    <xf numFmtId="182" fontId="14" fillId="0" borderId="45" xfId="0" applyNumberFormat="1" applyFont="1" applyFill="1" applyBorder="1" applyProtection="1"/>
    <xf numFmtId="182" fontId="14" fillId="0" borderId="7" xfId="0" applyNumberFormat="1" applyFont="1" applyFill="1" applyBorder="1" applyProtection="1"/>
    <xf numFmtId="0" fontId="20" fillId="0" borderId="0" xfId="0" applyNumberFormat="1" applyFont="1" applyBorder="1" applyAlignment="1" applyProtection="1">
      <alignment horizontal="left"/>
    </xf>
    <xf numFmtId="0" fontId="12" fillId="0" borderId="0" xfId="0" applyNumberFormat="1" applyFont="1" applyBorder="1" applyAlignment="1" applyProtection="1">
      <alignment horizontal="left" indent="1"/>
    </xf>
    <xf numFmtId="0" fontId="12" fillId="0" borderId="1" xfId="0" applyNumberFormat="1" applyFont="1" applyFill="1" applyBorder="1" applyAlignment="1" applyProtection="1">
      <alignment horizontal="center"/>
    </xf>
    <xf numFmtId="0" fontId="17" fillId="0" borderId="0" xfId="0" applyNumberFormat="1" applyFont="1" applyBorder="1" applyAlignment="1" applyProtection="1">
      <alignment horizontal="right" indent="1"/>
    </xf>
    <xf numFmtId="0" fontId="14" fillId="0" borderId="0" xfId="0" applyNumberFormat="1" applyFont="1" applyBorder="1" applyAlignment="1" applyProtection="1">
      <alignment horizontal="left"/>
    </xf>
    <xf numFmtId="0" fontId="12" fillId="0" borderId="73" xfId="0" applyNumberFormat="1" applyFont="1" applyBorder="1" applyProtection="1"/>
    <xf numFmtId="182" fontId="14" fillId="17" borderId="9" xfId="0" applyNumberFormat="1" applyFont="1" applyFill="1" applyBorder="1" applyProtection="1">
      <protection locked="0"/>
    </xf>
    <xf numFmtId="182" fontId="14" fillId="0" borderId="0" xfId="0" applyNumberFormat="1" applyFont="1" applyFill="1" applyBorder="1" applyProtection="1">
      <protection locked="0"/>
    </xf>
    <xf numFmtId="0" fontId="12" fillId="0" borderId="9" xfId="0" applyNumberFormat="1" applyFont="1" applyBorder="1" applyProtection="1"/>
    <xf numFmtId="182" fontId="12" fillId="0" borderId="64" xfId="0" applyNumberFormat="1" applyFont="1" applyFill="1" applyBorder="1" applyProtection="1"/>
    <xf numFmtId="182" fontId="12" fillId="0" borderId="36" xfId="0" applyNumberFormat="1" applyFont="1" applyFill="1" applyBorder="1" applyProtection="1"/>
    <xf numFmtId="182" fontId="12" fillId="0" borderId="10" xfId="0" applyNumberFormat="1" applyFont="1" applyFill="1" applyBorder="1" applyProtection="1"/>
    <xf numFmtId="182" fontId="12" fillId="0" borderId="4" xfId="0" applyNumberFormat="1" applyFont="1" applyFill="1" applyBorder="1" applyProtection="1"/>
    <xf numFmtId="182" fontId="12" fillId="0" borderId="9" xfId="0" applyNumberFormat="1" applyFont="1" applyFill="1" applyBorder="1" applyProtection="1"/>
    <xf numFmtId="0" fontId="17" fillId="0" borderId="0" xfId="0" applyFont="1" applyAlignment="1" applyProtection="1">
      <alignment horizontal="center"/>
    </xf>
    <xf numFmtId="0" fontId="14" fillId="0" borderId="38" xfId="0" applyFont="1" applyFill="1" applyBorder="1" applyAlignment="1">
      <alignment horizontal="center" vertical="top" wrapText="1"/>
    </xf>
    <xf numFmtId="0" fontId="14" fillId="0" borderId="41" xfId="0" applyFont="1" applyFill="1" applyBorder="1" applyAlignment="1">
      <alignment horizontal="center" vertical="top" wrapText="1"/>
    </xf>
    <xf numFmtId="0" fontId="14" fillId="0" borderId="119" xfId="0" applyFont="1" applyFill="1" applyBorder="1" applyAlignment="1">
      <alignment horizontal="center" vertical="top" wrapText="1"/>
    </xf>
    <xf numFmtId="0" fontId="14" fillId="0" borderId="82" xfId="0" applyFont="1" applyFill="1" applyBorder="1" applyAlignment="1">
      <alignment horizontal="center" vertical="top" wrapText="1"/>
    </xf>
    <xf numFmtId="0" fontId="14" fillId="0" borderId="100" xfId="0" applyFont="1" applyFill="1" applyBorder="1" applyAlignment="1">
      <alignment horizontal="center" vertical="top" wrapText="1"/>
    </xf>
    <xf numFmtId="0" fontId="14" fillId="0" borderId="88" xfId="0" applyFont="1" applyFill="1" applyBorder="1" applyAlignment="1">
      <alignment horizontal="center" vertical="top" wrapText="1"/>
    </xf>
    <xf numFmtId="0" fontId="14" fillId="0" borderId="56" xfId="0" applyFont="1" applyFill="1" applyBorder="1" applyAlignment="1">
      <alignment horizontal="center" vertical="top" wrapText="1"/>
    </xf>
    <xf numFmtId="0" fontId="14" fillId="0" borderId="84" xfId="0" applyFont="1" applyFill="1" applyBorder="1" applyAlignment="1">
      <alignment horizontal="center" vertical="top" wrapText="1"/>
    </xf>
    <xf numFmtId="0" fontId="12" fillId="0" borderId="7" xfId="0" applyNumberFormat="1" applyFont="1" applyFill="1" applyBorder="1" applyAlignment="1" applyProtection="1">
      <alignment horizontal="center"/>
    </xf>
    <xf numFmtId="0" fontId="12" fillId="0" borderId="8" xfId="0" applyNumberFormat="1" applyFont="1" applyFill="1" applyBorder="1" applyAlignment="1" applyProtection="1">
      <alignment horizontal="center"/>
    </xf>
    <xf numFmtId="0" fontId="12" fillId="0" borderId="72" xfId="0" applyNumberFormat="1" applyFont="1" applyFill="1" applyBorder="1" applyAlignment="1" applyProtection="1">
      <alignment horizontal="center"/>
    </xf>
    <xf numFmtId="0" fontId="12" fillId="0" borderId="10" xfId="0" applyNumberFormat="1" applyFont="1" applyFill="1" applyBorder="1" applyAlignment="1" applyProtection="1">
      <alignment horizontal="center"/>
    </xf>
    <xf numFmtId="182" fontId="14" fillId="17" borderId="1" xfId="0" applyNumberFormat="1" applyFont="1" applyFill="1" applyBorder="1" applyProtection="1">
      <protection locked="0"/>
    </xf>
    <xf numFmtId="0" fontId="12" fillId="0" borderId="3" xfId="0" applyNumberFormat="1" applyFont="1" applyFill="1" applyBorder="1" applyAlignment="1" applyProtection="1">
      <alignment horizontal="left" vertical="top" wrapText="1" indent="1"/>
      <protection locked="0"/>
    </xf>
    <xf numFmtId="0" fontId="17" fillId="0" borderId="68" xfId="0" applyNumberFormat="1" applyFont="1" applyFill="1" applyBorder="1" applyAlignment="1" applyProtection="1">
      <alignment horizontal="left" vertical="top" wrapText="1" indent="1"/>
      <protection locked="0"/>
    </xf>
    <xf numFmtId="0" fontId="12" fillId="0" borderId="11" xfId="0" applyNumberFormat="1" applyFont="1" applyFill="1" applyBorder="1" applyAlignment="1">
      <alignment horizontal="center" wrapText="1"/>
    </xf>
    <xf numFmtId="0" fontId="12" fillId="0" borderId="1" xfId="0" applyNumberFormat="1" applyFont="1" applyFill="1" applyBorder="1" applyAlignment="1">
      <alignment horizontal="center" wrapText="1"/>
    </xf>
    <xf numFmtId="0" fontId="12" fillId="0" borderId="1" xfId="0" applyNumberFormat="1" applyFont="1" applyFill="1" applyBorder="1" applyAlignment="1">
      <alignment horizontal="center" vertical="top" wrapText="1"/>
    </xf>
    <xf numFmtId="0" fontId="12" fillId="0" borderId="98" xfId="0" applyNumberFormat="1" applyFont="1" applyFill="1" applyBorder="1" applyAlignment="1">
      <alignment horizontal="center" vertical="top" wrapText="1"/>
    </xf>
    <xf numFmtId="182" fontId="12" fillId="0" borderId="99" xfId="0" applyNumberFormat="1" applyFont="1" applyBorder="1" applyAlignment="1"/>
    <xf numFmtId="0" fontId="14" fillId="0" borderId="43" xfId="0" applyFont="1" applyFill="1" applyBorder="1" applyAlignment="1">
      <alignment vertical="center" wrapText="1"/>
    </xf>
    <xf numFmtId="0" fontId="14" fillId="0" borderId="75" xfId="0" applyFont="1" applyFill="1" applyBorder="1" applyAlignment="1">
      <alignment vertical="center" wrapText="1"/>
    </xf>
    <xf numFmtId="0" fontId="14" fillId="0" borderId="103" xfId="0" applyFont="1" applyFill="1" applyBorder="1" applyAlignment="1">
      <alignment vertical="center" wrapText="1"/>
    </xf>
    <xf numFmtId="0" fontId="15" fillId="0" borderId="4" xfId="0" applyNumberFormat="1" applyFont="1" applyBorder="1"/>
    <xf numFmtId="0" fontId="17" fillId="0" borderId="36" xfId="0" applyNumberFormat="1" applyFont="1" applyBorder="1" applyAlignment="1">
      <alignment horizontal="center"/>
    </xf>
    <xf numFmtId="175" fontId="17" fillId="0" borderId="36" xfId="7" applyNumberFormat="1" applyFont="1" applyFill="1" applyBorder="1" applyAlignment="1">
      <alignment horizontal="center"/>
    </xf>
    <xf numFmtId="175" fontId="17" fillId="0" borderId="10" xfId="7" applyNumberFormat="1" applyFont="1" applyFill="1" applyBorder="1" applyAlignment="1">
      <alignment horizontal="center"/>
    </xf>
    <xf numFmtId="175" fontId="17" fillId="0" borderId="4" xfId="7" applyNumberFormat="1" applyFont="1" applyFill="1" applyBorder="1" applyAlignment="1">
      <alignment horizontal="center"/>
    </xf>
    <xf numFmtId="175" fontId="17" fillId="0" borderId="9" xfId="7" applyNumberFormat="1" applyFont="1" applyFill="1" applyBorder="1" applyAlignment="1">
      <alignment horizontal="center"/>
    </xf>
    <xf numFmtId="175" fontId="17" fillId="0" borderId="64" xfId="7" applyNumberFormat="1" applyFont="1" applyFill="1" applyBorder="1" applyAlignment="1">
      <alignment horizontal="center"/>
    </xf>
    <xf numFmtId="0" fontId="12" fillId="0" borderId="75" xfId="0" applyFont="1" applyBorder="1" applyAlignment="1">
      <alignment horizontal="center"/>
    </xf>
    <xf numFmtId="0" fontId="12" fillId="0" borderId="76" xfId="0" applyFont="1" applyBorder="1" applyAlignment="1">
      <alignment horizontal="center"/>
    </xf>
    <xf numFmtId="0" fontId="12" fillId="0" borderId="77" xfId="0" applyFont="1" applyBorder="1" applyAlignment="1">
      <alignment horizontal="center"/>
    </xf>
    <xf numFmtId="0" fontId="14" fillId="0" borderId="35" xfId="0" applyNumberFormat="1" applyFont="1" applyBorder="1"/>
    <xf numFmtId="0" fontId="12" fillId="0" borderId="35" xfId="0" applyNumberFormat="1" applyFont="1" applyBorder="1" applyAlignment="1">
      <alignment horizontal="center"/>
    </xf>
    <xf numFmtId="0" fontId="15" fillId="0" borderId="12" xfId="0" applyNumberFormat="1" applyFont="1" applyBorder="1"/>
    <xf numFmtId="0" fontId="17" fillId="0" borderId="43" xfId="0" applyNumberFormat="1" applyFont="1" applyBorder="1" applyAlignment="1">
      <alignment horizontal="center"/>
    </xf>
    <xf numFmtId="175" fontId="17" fillId="0" borderId="43" xfId="7" applyNumberFormat="1" applyFont="1" applyFill="1" applyBorder="1" applyAlignment="1">
      <alignment horizontal="center"/>
    </xf>
    <xf numFmtId="175" fontId="17" fillId="0" borderId="7" xfId="7" applyNumberFormat="1" applyFont="1" applyFill="1" applyBorder="1" applyAlignment="1">
      <alignment horizontal="center"/>
    </xf>
    <xf numFmtId="175" fontId="17" fillId="0" borderId="12" xfId="7" applyNumberFormat="1" applyFont="1" applyFill="1" applyBorder="1" applyAlignment="1">
      <alignment horizontal="center"/>
    </xf>
    <xf numFmtId="175" fontId="17" fillId="0" borderId="6" xfId="7" applyNumberFormat="1" applyFont="1" applyFill="1" applyBorder="1" applyAlignment="1">
      <alignment horizontal="center"/>
    </xf>
    <xf numFmtId="175" fontId="17" fillId="0" borderId="45" xfId="7" applyNumberFormat="1" applyFont="1" applyFill="1" applyBorder="1" applyAlignment="1">
      <alignment horizontal="center"/>
    </xf>
    <xf numFmtId="0" fontId="17" fillId="0" borderId="0" xfId="0" applyFont="1" applyAlignment="1">
      <alignment horizontal="left"/>
    </xf>
    <xf numFmtId="182" fontId="12" fillId="0" borderId="0" xfId="0" applyNumberFormat="1" applyFont="1" applyFill="1"/>
    <xf numFmtId="9" fontId="12" fillId="0" borderId="0" xfId="7" applyFont="1" applyFill="1" applyAlignment="1">
      <alignment horizontal="center"/>
    </xf>
    <xf numFmtId="9" fontId="12" fillId="0" borderId="0" xfId="7" applyFont="1" applyFill="1" applyAlignment="1" applyProtection="1">
      <alignment horizontal="center"/>
      <protection locked="0"/>
    </xf>
    <xf numFmtId="0" fontId="12" fillId="0" borderId="67" xfId="0" applyNumberFormat="1" applyFont="1" applyFill="1" applyBorder="1" applyAlignment="1">
      <alignment horizontal="center"/>
    </xf>
    <xf numFmtId="0" fontId="12" fillId="0" borderId="67" xfId="0" applyNumberFormat="1" applyFont="1" applyFill="1" applyBorder="1" applyAlignment="1" applyProtection="1">
      <alignment horizontal="center"/>
      <protection locked="0"/>
    </xf>
    <xf numFmtId="0" fontId="12" fillId="0" borderId="37" xfId="0" applyNumberFormat="1" applyFont="1" applyFill="1" applyBorder="1" applyAlignment="1">
      <alignment horizontal="center"/>
    </xf>
    <xf numFmtId="0" fontId="12" fillId="0" borderId="0" xfId="0" applyFont="1" applyFill="1" applyBorder="1" applyAlignment="1" applyProtection="1">
      <alignment horizontal="center"/>
      <protection locked="0"/>
    </xf>
    <xf numFmtId="0" fontId="12" fillId="0" borderId="0" xfId="0" applyFont="1" applyFill="1" applyAlignment="1">
      <alignment horizontal="center"/>
    </xf>
    <xf numFmtId="0" fontId="14" fillId="0" borderId="43" xfId="0" applyFont="1" applyFill="1" applyBorder="1" applyAlignment="1">
      <alignment horizontal="center" wrapText="1"/>
    </xf>
    <xf numFmtId="182" fontId="14" fillId="0" borderId="1" xfId="0" applyNumberFormat="1" applyFont="1" applyBorder="1" applyAlignment="1">
      <alignment horizontal="right"/>
    </xf>
    <xf numFmtId="182" fontId="14" fillId="0" borderId="51" xfId="0" applyNumberFormat="1" applyFont="1" applyBorder="1" applyAlignment="1">
      <alignment horizontal="right"/>
    </xf>
    <xf numFmtId="182" fontId="14" fillId="0" borderId="80" xfId="0" applyNumberFormat="1" applyFont="1" applyBorder="1" applyAlignment="1">
      <alignment horizontal="right"/>
    </xf>
    <xf numFmtId="182" fontId="14" fillId="0" borderId="50" xfId="0" applyNumberFormat="1" applyFont="1" applyBorder="1" applyAlignment="1">
      <alignment horizontal="right"/>
    </xf>
    <xf numFmtId="182" fontId="14" fillId="0" borderId="67" xfId="0" applyNumberFormat="1" applyFont="1" applyBorder="1" applyAlignment="1">
      <alignment horizontal="right"/>
    </xf>
    <xf numFmtId="182" fontId="14" fillId="0" borderId="99" xfId="0" applyNumberFormat="1" applyFont="1" applyBorder="1" applyAlignment="1">
      <alignment horizontal="right"/>
    </xf>
    <xf numFmtId="182" fontId="14" fillId="0" borderId="76" xfId="0" applyNumberFormat="1" applyFont="1" applyBorder="1" applyAlignment="1">
      <alignment horizontal="right"/>
    </xf>
    <xf numFmtId="182" fontId="14" fillId="0" borderId="47" xfId="0" applyNumberFormat="1" applyFont="1" applyFill="1" applyBorder="1" applyAlignment="1">
      <alignment horizontal="right"/>
    </xf>
    <xf numFmtId="182" fontId="14" fillId="0" borderId="76" xfId="0" applyNumberFormat="1" applyFont="1" applyFill="1" applyBorder="1" applyAlignment="1">
      <alignment horizontal="right"/>
    </xf>
    <xf numFmtId="182" fontId="14" fillId="0" borderId="51" xfId="0" applyNumberFormat="1" applyFont="1" applyFill="1" applyBorder="1" applyAlignment="1">
      <alignment horizontal="right"/>
    </xf>
    <xf numFmtId="182" fontId="14" fillId="0" borderId="79" xfId="0" applyNumberFormat="1" applyFont="1" applyFill="1" applyBorder="1" applyAlignment="1">
      <alignment horizontal="right"/>
    </xf>
    <xf numFmtId="182" fontId="12" fillId="0" borderId="35" xfId="0" applyNumberFormat="1" applyFont="1" applyFill="1" applyBorder="1"/>
    <xf numFmtId="0" fontId="14" fillId="0" borderId="100" xfId="0" applyFont="1" applyFill="1" applyBorder="1" applyAlignment="1">
      <alignment horizontal="center" vertical="center" wrapText="1"/>
    </xf>
    <xf numFmtId="182" fontId="14" fillId="0" borderId="48" xfId="0" applyNumberFormat="1" applyFont="1" applyBorder="1" applyAlignment="1">
      <alignment horizontal="right"/>
    </xf>
    <xf numFmtId="0" fontId="12" fillId="0" borderId="42" xfId="0" applyNumberFormat="1" applyFont="1" applyFill="1" applyBorder="1" applyProtection="1"/>
    <xf numFmtId="0" fontId="12" fillId="0" borderId="8" xfId="0" applyNumberFormat="1" applyFont="1" applyFill="1" applyBorder="1" applyProtection="1"/>
    <xf numFmtId="0" fontId="12" fillId="0" borderId="3" xfId="0" applyNumberFormat="1" applyFont="1" applyFill="1" applyBorder="1" applyProtection="1"/>
    <xf numFmtId="0" fontId="12" fillId="0" borderId="0" xfId="0" applyNumberFormat="1" applyFont="1" applyFill="1" applyBorder="1" applyProtection="1"/>
    <xf numFmtId="0" fontId="12" fillId="0" borderId="47" xfId="0" applyNumberFormat="1" applyFont="1" applyFill="1" applyBorder="1" applyProtection="1"/>
    <xf numFmtId="183" fontId="12" fillId="17" borderId="3" xfId="0" applyNumberFormat="1" applyFont="1" applyFill="1" applyBorder="1" applyProtection="1">
      <protection locked="0"/>
    </xf>
    <xf numFmtId="183" fontId="12" fillId="0" borderId="46" xfId="0" applyNumberFormat="1" applyFont="1" applyFill="1" applyBorder="1" applyProtection="1"/>
    <xf numFmtId="183" fontId="12" fillId="0" borderId="49" xfId="0" applyNumberFormat="1" applyFont="1" applyFill="1" applyBorder="1" applyProtection="1"/>
    <xf numFmtId="183" fontId="12" fillId="0" borderId="50" xfId="0" applyNumberFormat="1" applyFont="1" applyFill="1" applyBorder="1" applyProtection="1"/>
    <xf numFmtId="183" fontId="12" fillId="0" borderId="48" xfId="0" applyNumberFormat="1" applyFont="1" applyFill="1" applyBorder="1" applyProtection="1"/>
    <xf numFmtId="183" fontId="12" fillId="0" borderId="51" xfId="0" applyNumberFormat="1" applyFont="1" applyFill="1" applyBorder="1" applyProtection="1"/>
    <xf numFmtId="183" fontId="12" fillId="0" borderId="60" xfId="0" applyNumberFormat="1" applyFont="1" applyFill="1" applyBorder="1" applyProtection="1"/>
    <xf numFmtId="183" fontId="12" fillId="0" borderId="61" xfId="0" applyNumberFormat="1" applyFont="1" applyFill="1" applyBorder="1" applyProtection="1"/>
    <xf numFmtId="183" fontId="12" fillId="0" borderId="62" xfId="0" applyNumberFormat="1" applyFont="1" applyFill="1" applyBorder="1" applyProtection="1"/>
    <xf numFmtId="183" fontId="12" fillId="0" borderId="59" xfId="0" applyNumberFormat="1" applyFont="1" applyFill="1" applyBorder="1" applyProtection="1"/>
    <xf numFmtId="183" fontId="12" fillId="0" borderId="63" xfId="0" applyNumberFormat="1" applyFont="1" applyFill="1" applyBorder="1" applyProtection="1"/>
    <xf numFmtId="183" fontId="14" fillId="0" borderId="46" xfId="0" applyNumberFormat="1" applyFont="1" applyFill="1" applyBorder="1" applyProtection="1"/>
    <xf numFmtId="183" fontId="14" fillId="0" borderId="49" xfId="0" applyNumberFormat="1" applyFont="1" applyFill="1" applyBorder="1" applyProtection="1"/>
    <xf numFmtId="183" fontId="14" fillId="0" borderId="50" xfId="0" applyNumberFormat="1" applyFont="1" applyFill="1" applyBorder="1" applyProtection="1"/>
    <xf numFmtId="183" fontId="14" fillId="0" borderId="48" xfId="0" applyNumberFormat="1" applyFont="1" applyFill="1" applyBorder="1" applyProtection="1"/>
    <xf numFmtId="183" fontId="14" fillId="0" borderId="51" xfId="0" applyNumberFormat="1" applyFont="1" applyFill="1" applyBorder="1" applyProtection="1"/>
    <xf numFmtId="183" fontId="12" fillId="0" borderId="42" xfId="0" applyNumberFormat="1" applyFont="1" applyFill="1" applyBorder="1" applyProtection="1"/>
    <xf numFmtId="183" fontId="12" fillId="0" borderId="8" xfId="0" applyNumberFormat="1" applyFont="1" applyFill="1" applyBorder="1" applyProtection="1"/>
    <xf numFmtId="183" fontId="12" fillId="0" borderId="3" xfId="0" applyNumberFormat="1" applyFont="1" applyFill="1" applyBorder="1" applyProtection="1"/>
    <xf numFmtId="183" fontId="12" fillId="0" borderId="0" xfId="0" applyNumberFormat="1" applyFont="1" applyFill="1" applyBorder="1" applyProtection="1"/>
    <xf numFmtId="183" fontId="12" fillId="0" borderId="47" xfId="0" applyNumberFormat="1" applyFont="1" applyFill="1" applyBorder="1" applyProtection="1"/>
    <xf numFmtId="183" fontId="12" fillId="17" borderId="68" xfId="0" applyNumberFormat="1" applyFont="1" applyFill="1" applyBorder="1" applyProtection="1">
      <protection locked="0"/>
    </xf>
    <xf numFmtId="183" fontId="12" fillId="17" borderId="73" xfId="0" applyNumberFormat="1" applyFont="1" applyFill="1" applyBorder="1" applyProtection="1">
      <protection locked="0"/>
    </xf>
    <xf numFmtId="0" fontId="12" fillId="0" borderId="0" xfId="0" applyNumberFormat="1" applyFont="1" applyFill="1" applyProtection="1"/>
    <xf numFmtId="0" fontId="12" fillId="0" borderId="0" xfId="0" applyNumberFormat="1" applyFont="1" applyProtection="1"/>
    <xf numFmtId="0" fontId="14" fillId="0" borderId="42" xfId="0" applyNumberFormat="1" applyFont="1" applyFill="1" applyBorder="1" applyProtection="1"/>
    <xf numFmtId="0" fontId="14" fillId="0" borderId="8" xfId="0" applyNumberFormat="1" applyFont="1" applyFill="1" applyBorder="1" applyProtection="1"/>
    <xf numFmtId="0" fontId="14" fillId="0" borderId="3" xfId="0" applyNumberFormat="1" applyFont="1" applyFill="1" applyBorder="1" applyProtection="1"/>
    <xf numFmtId="0" fontId="14" fillId="0" borderId="0" xfId="0" applyNumberFormat="1" applyFont="1" applyFill="1" applyBorder="1" applyProtection="1"/>
    <xf numFmtId="0" fontId="14" fillId="0" borderId="47" xfId="0" applyNumberFormat="1" applyFont="1" applyFill="1" applyBorder="1" applyProtection="1"/>
    <xf numFmtId="183" fontId="12" fillId="17" borderId="97" xfId="0" applyNumberFormat="1" applyFont="1" applyFill="1" applyBorder="1" applyProtection="1">
      <protection locked="0"/>
    </xf>
    <xf numFmtId="0" fontId="12" fillId="0" borderId="3" xfId="0" applyNumberFormat="1" applyFont="1" applyBorder="1" applyAlignment="1" applyProtection="1">
      <alignment horizontal="left" wrapText="1" indent="1"/>
    </xf>
    <xf numFmtId="0" fontId="12" fillId="0" borderId="0" xfId="0" applyFont="1" applyFill="1" applyBorder="1" applyAlignment="1" applyProtection="1">
      <alignment horizontal="left"/>
    </xf>
    <xf numFmtId="0" fontId="12" fillId="0" borderId="0" xfId="0" applyFont="1" applyFill="1" applyBorder="1" applyAlignment="1" applyProtection="1">
      <alignment horizontal="left" indent="2"/>
    </xf>
    <xf numFmtId="0" fontId="31" fillId="0" borderId="3" xfId="0" applyFont="1" applyBorder="1" applyAlignment="1">
      <alignment horizontal="center"/>
    </xf>
    <xf numFmtId="0" fontId="18" fillId="0" borderId="0" xfId="0" applyFont="1" applyAlignment="1">
      <alignment horizontal="left"/>
    </xf>
    <xf numFmtId="0" fontId="17" fillId="0" borderId="0" xfId="0" applyNumberFormat="1" applyFont="1" applyFill="1" applyProtection="1"/>
    <xf numFmtId="0" fontId="12" fillId="0" borderId="0" xfId="0" applyFont="1" applyFill="1" applyAlignment="1" applyProtection="1">
      <alignment horizontal="center"/>
      <protection locked="0"/>
    </xf>
    <xf numFmtId="0" fontId="14" fillId="0" borderId="36" xfId="0" quotePrefix="1" applyFont="1" applyFill="1" applyBorder="1" applyAlignment="1">
      <alignment horizontal="center" vertical="center" wrapText="1"/>
    </xf>
    <xf numFmtId="0" fontId="14" fillId="0" borderId="43" xfId="0" applyFont="1" applyFill="1" applyBorder="1" applyAlignment="1">
      <alignment horizontal="right" wrapText="1"/>
    </xf>
    <xf numFmtId="0" fontId="12" fillId="0" borderId="36" xfId="0" applyNumberFormat="1" applyFont="1" applyBorder="1" applyAlignment="1">
      <alignment horizontal="center" vertical="center"/>
    </xf>
    <xf numFmtId="0" fontId="38" fillId="17" borderId="76" xfId="0" applyNumberFormat="1" applyFont="1" applyFill="1" applyBorder="1" applyAlignment="1" applyProtection="1">
      <alignment horizontal="center"/>
      <protection locked="0"/>
    </xf>
    <xf numFmtId="182" fontId="12" fillId="17" borderId="99" xfId="1" applyNumberFormat="1" applyFont="1" applyFill="1" applyBorder="1" applyProtection="1">
      <protection locked="0"/>
    </xf>
    <xf numFmtId="182" fontId="12" fillId="0" borderId="99" xfId="0" applyNumberFormat="1" applyFont="1" applyBorder="1"/>
    <xf numFmtId="0" fontId="17" fillId="17" borderId="42" xfId="1" applyNumberFormat="1" applyFont="1" applyFill="1" applyBorder="1" applyAlignment="1" applyProtection="1">
      <alignment vertical="top" wrapText="1"/>
      <protection locked="0"/>
    </xf>
    <xf numFmtId="0" fontId="9" fillId="0" borderId="4" xfId="0" applyFont="1" applyFill="1" applyBorder="1" applyAlignment="1" applyProtection="1">
      <alignment horizontal="left"/>
    </xf>
    <xf numFmtId="0" fontId="14" fillId="0" borderId="38" xfId="0" applyFont="1" applyFill="1" applyBorder="1" applyAlignment="1" applyProtection="1">
      <alignment horizontal="centerContinuous" vertical="center" wrapText="1"/>
    </xf>
    <xf numFmtId="0" fontId="14" fillId="0" borderId="40" xfId="0" applyFont="1" applyFill="1" applyBorder="1" applyAlignment="1" applyProtection="1">
      <alignment horizontal="centerContinuous" vertical="center" wrapText="1"/>
    </xf>
    <xf numFmtId="0" fontId="14" fillId="0" borderId="82" xfId="0" applyFont="1" applyFill="1" applyBorder="1" applyAlignment="1" applyProtection="1">
      <alignment horizontal="centerContinuous" vertical="center" wrapText="1"/>
    </xf>
    <xf numFmtId="0" fontId="14" fillId="0" borderId="46" xfId="0" applyFont="1" applyFill="1" applyBorder="1" applyAlignment="1" applyProtection="1">
      <alignment horizontal="center" vertical="center" wrapText="1"/>
    </xf>
    <xf numFmtId="0" fontId="16" fillId="0" borderId="3" xfId="0" applyNumberFormat="1" applyFont="1" applyBorder="1" applyAlignment="1" applyProtection="1">
      <alignment horizontal="left" wrapText="1"/>
    </xf>
    <xf numFmtId="0" fontId="12" fillId="0" borderId="43" xfId="0" applyNumberFormat="1" applyFont="1" applyBorder="1" applyAlignment="1" applyProtection="1">
      <alignment horizontal="center" vertical="top" wrapText="1"/>
    </xf>
    <xf numFmtId="172" fontId="12" fillId="0" borderId="43" xfId="1" applyNumberFormat="1" applyFont="1" applyBorder="1" applyAlignment="1" applyProtection="1">
      <alignment vertical="top" wrapText="1"/>
    </xf>
    <xf numFmtId="172" fontId="12" fillId="0" borderId="7" xfId="1" applyNumberFormat="1" applyFont="1" applyBorder="1" applyAlignment="1" applyProtection="1">
      <alignment vertical="top" wrapText="1"/>
    </xf>
    <xf numFmtId="172" fontId="12" fillId="0" borderId="12" xfId="1" applyNumberFormat="1" applyFont="1" applyBorder="1" applyAlignment="1" applyProtection="1">
      <alignment vertical="top" wrapText="1"/>
    </xf>
    <xf numFmtId="0" fontId="12" fillId="0" borderId="3" xfId="0" applyNumberFormat="1" applyFont="1" applyBorder="1" applyAlignment="1" applyProtection="1">
      <alignment horizontal="left" wrapText="1" indent="2"/>
    </xf>
    <xf numFmtId="0" fontId="12" fillId="0" borderId="42" xfId="0" applyNumberFormat="1" applyFont="1" applyBorder="1" applyAlignment="1" applyProtection="1">
      <alignment horizontal="center" vertical="top" wrapText="1"/>
    </xf>
    <xf numFmtId="0" fontId="12" fillId="0" borderId="42" xfId="0" applyNumberFormat="1" applyFont="1" applyFill="1" applyBorder="1" applyAlignment="1" applyProtection="1">
      <alignment horizontal="center" vertical="top" wrapText="1"/>
    </xf>
    <xf numFmtId="172" fontId="12" fillId="0" borderId="42" xfId="1" applyNumberFormat="1" applyFont="1" applyFill="1" applyBorder="1" applyAlignment="1" applyProtection="1">
      <alignment vertical="top" wrapText="1"/>
    </xf>
    <xf numFmtId="172" fontId="12" fillId="0" borderId="8" xfId="1" applyNumberFormat="1" applyFont="1" applyFill="1" applyBorder="1" applyAlignment="1" applyProtection="1">
      <alignment vertical="top" wrapText="1"/>
    </xf>
    <xf numFmtId="172" fontId="12" fillId="0" borderId="3" xfId="1" applyNumberFormat="1" applyFont="1" applyFill="1" applyBorder="1" applyAlignment="1" applyProtection="1">
      <alignment vertical="top" wrapText="1"/>
    </xf>
    <xf numFmtId="0" fontId="15" fillId="0" borderId="3" xfId="0" applyNumberFormat="1" applyFont="1" applyBorder="1" applyAlignment="1" applyProtection="1">
      <alignment horizontal="left" wrapText="1" indent="1"/>
    </xf>
    <xf numFmtId="0" fontId="12" fillId="0" borderId="3" xfId="0" applyFont="1" applyBorder="1" applyAlignment="1" applyProtection="1">
      <alignment horizontal="left" indent="2"/>
    </xf>
    <xf numFmtId="186" fontId="12" fillId="0" borderId="47" xfId="1" applyNumberFormat="1" applyFont="1" applyFill="1" applyBorder="1" applyAlignment="1" applyProtection="1">
      <alignment vertical="top" wrapText="1"/>
    </xf>
    <xf numFmtId="172" fontId="14" fillId="0" borderId="42" xfId="1" applyNumberFormat="1" applyFont="1" applyFill="1" applyBorder="1" applyAlignment="1" applyProtection="1">
      <alignment vertical="top" wrapText="1"/>
    </xf>
    <xf numFmtId="172" fontId="14" fillId="0" borderId="8" xfId="1" applyNumberFormat="1" applyFont="1" applyFill="1" applyBorder="1" applyAlignment="1" applyProtection="1">
      <alignment vertical="top" wrapText="1"/>
    </xf>
    <xf numFmtId="172" fontId="14" fillId="0" borderId="3" xfId="1" applyNumberFormat="1" applyFont="1" applyFill="1" applyBorder="1" applyAlignment="1" applyProtection="1">
      <alignment vertical="top" wrapText="1"/>
    </xf>
    <xf numFmtId="0" fontId="12" fillId="0" borderId="3" xfId="0" applyNumberFormat="1" applyFont="1" applyFill="1" applyBorder="1" applyAlignment="1" applyProtection="1">
      <alignment horizontal="left" wrapText="1" indent="2"/>
    </xf>
    <xf numFmtId="0" fontId="12" fillId="0" borderId="3" xfId="0" applyNumberFormat="1" applyFont="1" applyBorder="1" applyAlignment="1" applyProtection="1">
      <alignment horizontal="left" vertical="top" wrapText="1" indent="2"/>
    </xf>
    <xf numFmtId="0" fontId="16" fillId="0" borderId="4" xfId="0" applyNumberFormat="1" applyFont="1" applyBorder="1" applyAlignment="1" applyProtection="1">
      <alignment horizontal="left" wrapText="1"/>
    </xf>
    <xf numFmtId="0" fontId="12" fillId="0" borderId="36" xfId="0" applyFont="1" applyBorder="1" applyAlignment="1" applyProtection="1">
      <alignment horizontal="center" vertical="top" wrapText="1"/>
    </xf>
    <xf numFmtId="172" fontId="12" fillId="0" borderId="36" xfId="1" applyNumberFormat="1" applyFont="1" applyBorder="1" applyAlignment="1" applyProtection="1">
      <alignment horizontal="center" vertical="top" wrapText="1"/>
    </xf>
    <xf numFmtId="172" fontId="12" fillId="0" borderId="10" xfId="1" applyNumberFormat="1" applyFont="1" applyBorder="1" applyAlignment="1" applyProtection="1">
      <alignment horizontal="center" vertical="top" wrapText="1"/>
    </xf>
    <xf numFmtId="172" fontId="12" fillId="0" borderId="4" xfId="1" applyNumberFormat="1" applyFont="1" applyBorder="1" applyAlignment="1" applyProtection="1">
      <alignment horizontal="center" vertical="top" wrapText="1"/>
    </xf>
    <xf numFmtId="0" fontId="17" fillId="0" borderId="0" xfId="5" applyFont="1" applyAlignment="1" applyProtection="1">
      <alignment horizontal="center"/>
    </xf>
    <xf numFmtId="0" fontId="12" fillId="0" borderId="0" xfId="0" applyNumberFormat="1" applyFont="1" applyFill="1" applyBorder="1" applyAlignment="1" applyProtection="1">
      <alignment horizontal="left" indent="1"/>
    </xf>
    <xf numFmtId="0" fontId="12" fillId="0" borderId="0" xfId="0" applyNumberFormat="1" applyFont="1" applyFill="1" applyBorder="1" applyAlignment="1" applyProtection="1">
      <alignment horizontal="center"/>
    </xf>
    <xf numFmtId="181" fontId="12" fillId="0" borderId="0" xfId="1" applyNumberFormat="1" applyFont="1" applyFill="1" applyBorder="1" applyProtection="1"/>
    <xf numFmtId="0" fontId="12" fillId="17" borderId="47" xfId="0" applyNumberFormat="1" applyFont="1" applyFill="1" applyBorder="1" applyAlignment="1" applyProtection="1">
      <alignment horizontal="right" wrapText="1"/>
      <protection locked="0"/>
    </xf>
    <xf numFmtId="0" fontId="12" fillId="17" borderId="42" xfId="0" applyNumberFormat="1" applyFont="1" applyFill="1" applyBorder="1" applyAlignment="1" applyProtection="1">
      <alignment horizontal="right" wrapText="1"/>
      <protection locked="0"/>
    </xf>
    <xf numFmtId="0" fontId="12" fillId="17" borderId="8" xfId="0" applyNumberFormat="1" applyFont="1" applyFill="1" applyBorder="1" applyAlignment="1" applyProtection="1">
      <alignment horizontal="right" wrapText="1"/>
      <protection locked="0"/>
    </xf>
    <xf numFmtId="0" fontId="12" fillId="17" borderId="0" xfId="0" applyNumberFormat="1" applyFont="1" applyFill="1" applyBorder="1" applyAlignment="1" applyProtection="1">
      <alignment horizontal="right" wrapText="1"/>
      <protection locked="0"/>
    </xf>
    <xf numFmtId="0" fontId="12" fillId="17" borderId="99" xfId="0" applyNumberFormat="1" applyFont="1" applyFill="1" applyBorder="1" applyAlignment="1" applyProtection="1">
      <alignment horizontal="right" wrapText="1"/>
      <protection locked="0"/>
    </xf>
    <xf numFmtId="182" fontId="12" fillId="17" borderId="99" xfId="0" applyNumberFormat="1" applyFont="1" applyFill="1" applyBorder="1" applyAlignment="1" applyProtection="1">
      <alignment horizontal="right"/>
      <protection locked="0"/>
    </xf>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Continuous" vertical="center" wrapText="1"/>
      <protection locked="0"/>
    </xf>
    <xf numFmtId="0" fontId="12" fillId="0" borderId="0" xfId="0" applyNumberFormat="1" applyFont="1" applyFill="1" applyBorder="1" applyAlignment="1" applyProtection="1">
      <alignment horizontal="center" vertical="top" wrapText="1"/>
      <protection locked="0"/>
    </xf>
    <xf numFmtId="172"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Alignment="1" applyProtection="1">
      <alignment horizontal="left" indent="1"/>
      <protection locked="0"/>
    </xf>
    <xf numFmtId="0" fontId="19" fillId="0" borderId="0" xfId="0" applyFont="1" applyFill="1" applyBorder="1" applyProtection="1">
      <protection locked="0"/>
    </xf>
    <xf numFmtId="0" fontId="16" fillId="0" borderId="0" xfId="0" applyNumberFormat="1" applyFont="1" applyFill="1" applyBorder="1" applyAlignment="1" applyProtection="1">
      <alignment horizontal="left" wrapText="1"/>
      <protection locked="0"/>
    </xf>
    <xf numFmtId="0" fontId="17" fillId="0" borderId="0" xfId="1" applyNumberFormat="1" applyFont="1" applyFill="1" applyBorder="1" applyAlignment="1" applyProtection="1">
      <alignment vertical="top" wrapText="1"/>
      <protection locked="0"/>
    </xf>
    <xf numFmtId="0" fontId="19" fillId="0" borderId="0" xfId="0" applyNumberFormat="1" applyFont="1" applyFill="1" applyBorder="1" applyProtection="1">
      <protection locked="0"/>
    </xf>
    <xf numFmtId="0" fontId="12" fillId="0" borderId="0" xfId="1" applyNumberFormat="1" applyFont="1" applyFill="1" applyBorder="1" applyProtection="1">
      <protection locked="0"/>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Continuous" vertical="center" wrapText="1"/>
      <protection locked="0"/>
    </xf>
    <xf numFmtId="0" fontId="12" fillId="0" borderId="0" xfId="1" applyNumberFormat="1" applyFont="1" applyFill="1" applyBorder="1"/>
    <xf numFmtId="0"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Protection="1">
      <protection locked="0"/>
    </xf>
    <xf numFmtId="0" fontId="14" fillId="0" borderId="0" xfId="0" applyNumberFormat="1" applyFont="1" applyFill="1" applyBorder="1" applyProtection="1">
      <protection locked="0"/>
    </xf>
    <xf numFmtId="0" fontId="12" fillId="0" borderId="0" xfId="7" applyNumberFormat="1" applyFont="1" applyFill="1" applyBorder="1" applyAlignment="1" applyProtection="1">
      <alignment horizontal="center"/>
      <protection locked="0"/>
    </xf>
    <xf numFmtId="0" fontId="12" fillId="0" borderId="0" xfId="0" applyNumberFormat="1" applyFont="1" applyFill="1" applyBorder="1" applyAlignment="1" applyProtection="1">
      <alignment horizontal="left" wrapText="1" indent="2"/>
    </xf>
    <xf numFmtId="0" fontId="12" fillId="0" borderId="0" xfId="0" applyNumberFormat="1" applyFont="1" applyFill="1" applyBorder="1" applyAlignment="1" applyProtection="1">
      <alignment horizontal="center" vertical="top" wrapText="1"/>
    </xf>
    <xf numFmtId="172" fontId="12" fillId="0" borderId="0" xfId="1" applyNumberFormat="1" applyFont="1" applyFill="1" applyBorder="1" applyAlignment="1" applyProtection="1">
      <alignment vertical="top" wrapText="1"/>
    </xf>
    <xf numFmtId="0" fontId="15" fillId="0" borderId="0" xfId="0" applyNumberFormat="1" applyFont="1" applyFill="1" applyBorder="1" applyAlignment="1" applyProtection="1">
      <alignment horizontal="left" indent="1"/>
    </xf>
    <xf numFmtId="0" fontId="15" fillId="0" borderId="0" xfId="0" applyNumberFormat="1" applyFont="1" applyFill="1" applyBorder="1" applyAlignment="1" applyProtection="1">
      <alignment horizontal="left" wrapText="1" indent="1"/>
    </xf>
    <xf numFmtId="0" fontId="16" fillId="0" borderId="0" xfId="0" applyNumberFormat="1" applyFont="1" applyFill="1" applyBorder="1" applyAlignment="1" applyProtection="1">
      <alignment horizontal="left" wrapText="1"/>
    </xf>
    <xf numFmtId="0" fontId="12" fillId="0" borderId="0" xfId="0" applyFont="1" applyFill="1" applyBorder="1" applyAlignment="1" applyProtection="1">
      <alignment horizontal="center" vertical="top" wrapText="1"/>
    </xf>
    <xf numFmtId="0" fontId="17" fillId="0" borderId="36" xfId="1" applyNumberFormat="1" applyFont="1" applyFill="1" applyBorder="1" applyAlignment="1" applyProtection="1">
      <alignment vertical="top" wrapText="1"/>
      <protection locked="0"/>
    </xf>
    <xf numFmtId="0" fontId="12" fillId="0" borderId="36" xfId="0" applyNumberFormat="1" applyFont="1" applyFill="1" applyBorder="1" applyAlignment="1" applyProtection="1">
      <alignment horizontal="center" vertical="top" wrapText="1"/>
    </xf>
    <xf numFmtId="172" fontId="12" fillId="0" borderId="36" xfId="1" applyNumberFormat="1" applyFont="1" applyFill="1" applyBorder="1" applyAlignment="1" applyProtection="1">
      <alignment vertical="top" wrapText="1"/>
    </xf>
    <xf numFmtId="172" fontId="12" fillId="0" borderId="10" xfId="1" applyNumberFormat="1" applyFont="1" applyFill="1" applyBorder="1" applyAlignment="1" applyProtection="1">
      <alignment vertical="top" wrapText="1"/>
    </xf>
    <xf numFmtId="172" fontId="12" fillId="0" borderId="4" xfId="1" applyNumberFormat="1" applyFont="1" applyFill="1" applyBorder="1" applyAlignment="1" applyProtection="1">
      <alignment vertical="top" wrapText="1"/>
    </xf>
    <xf numFmtId="0" fontId="14" fillId="0" borderId="52" xfId="0" applyFont="1" applyFill="1" applyBorder="1" applyAlignment="1" applyProtection="1">
      <alignment horizontal="center" vertical="center" wrapText="1"/>
    </xf>
    <xf numFmtId="0" fontId="14" fillId="0" borderId="53" xfId="0" applyFont="1" applyFill="1" applyBorder="1" applyAlignment="1" applyProtection="1">
      <alignment horizontal="center" vertical="center" wrapText="1"/>
    </xf>
    <xf numFmtId="0" fontId="14" fillId="0" borderId="55" xfId="0" applyFont="1" applyFill="1" applyBorder="1" applyAlignment="1" applyProtection="1">
      <alignment horizontal="center" vertical="center" wrapText="1"/>
    </xf>
    <xf numFmtId="172" fontId="12" fillId="17" borderId="42" xfId="1" applyNumberFormat="1" applyFont="1" applyFill="1" applyBorder="1" applyAlignment="1" applyProtection="1">
      <alignment vertical="top" wrapText="1"/>
      <protection locked="0"/>
    </xf>
    <xf numFmtId="172" fontId="12" fillId="17" borderId="8" xfId="1" applyNumberFormat="1" applyFont="1" applyFill="1" applyBorder="1" applyAlignment="1" applyProtection="1">
      <alignment vertical="top" wrapText="1"/>
      <protection locked="0"/>
    </xf>
    <xf numFmtId="172" fontId="12" fillId="17" borderId="3" xfId="1" applyNumberFormat="1" applyFont="1" applyFill="1" applyBorder="1" applyAlignment="1" applyProtection="1">
      <alignment vertical="top" wrapText="1"/>
      <protection locked="0"/>
    </xf>
    <xf numFmtId="0" fontId="12" fillId="0" borderId="3" xfId="0" applyFont="1" applyBorder="1" applyProtection="1">
      <protection locked="0"/>
    </xf>
    <xf numFmtId="0" fontId="12" fillId="0" borderId="3" xfId="0" applyNumberFormat="1" applyFont="1" applyFill="1" applyBorder="1" applyAlignment="1" applyProtection="1">
      <alignment horizontal="left" wrapText="1" indent="2"/>
      <protection locked="0"/>
    </xf>
    <xf numFmtId="182" fontId="39" fillId="17" borderId="0" xfId="0" applyNumberFormat="1" applyFont="1" applyFill="1" applyBorder="1" applyProtection="1">
      <protection locked="0"/>
    </xf>
    <xf numFmtId="182" fontId="39" fillId="17" borderId="42" xfId="0" applyNumberFormat="1" applyFont="1" applyFill="1" applyBorder="1" applyProtection="1">
      <protection locked="0"/>
    </xf>
    <xf numFmtId="182" fontId="12" fillId="17" borderId="42" xfId="0" applyNumberFormat="1" applyFont="1" applyFill="1" applyBorder="1" applyAlignment="1">
      <alignment horizontal="right"/>
    </xf>
    <xf numFmtId="182" fontId="49" fillId="17" borderId="42" xfId="0" applyNumberFormat="1" applyFont="1" applyFill="1" applyBorder="1" applyAlignment="1" applyProtection="1">
      <alignment horizontal="right"/>
      <protection locked="0"/>
    </xf>
    <xf numFmtId="182" fontId="49" fillId="17" borderId="42" xfId="0" applyNumberFormat="1" applyFont="1" applyFill="1" applyBorder="1" applyAlignment="1">
      <alignment horizontal="right"/>
    </xf>
    <xf numFmtId="182" fontId="12" fillId="9" borderId="42" xfId="2" applyNumberFormat="1" applyFont="1" applyFill="1" applyBorder="1" applyProtection="1">
      <protection locked="0"/>
    </xf>
    <xf numFmtId="176" fontId="12" fillId="17" borderId="47" xfId="0" applyNumberFormat="1" applyFont="1" applyFill="1" applyBorder="1" applyProtection="1">
      <protection locked="0"/>
    </xf>
    <xf numFmtId="0" fontId="14" fillId="0" borderId="42" xfId="0" applyFont="1" applyFill="1" applyBorder="1" applyAlignment="1">
      <alignment horizontal="center" vertical="center"/>
    </xf>
    <xf numFmtId="9" fontId="12" fillId="17" borderId="67" xfId="0" applyNumberFormat="1" applyFont="1" applyFill="1" applyBorder="1" applyAlignment="1" applyProtection="1">
      <alignment horizontal="center"/>
      <protection locked="0"/>
    </xf>
    <xf numFmtId="10" fontId="12" fillId="17" borderId="67" xfId="0" applyNumberFormat="1" applyFont="1" applyFill="1" applyBorder="1" applyAlignment="1" applyProtection="1">
      <alignment horizontal="center"/>
      <protection locked="0"/>
    </xf>
    <xf numFmtId="0" fontId="14" fillId="0" borderId="3" xfId="0" applyFont="1" applyFill="1" applyBorder="1" applyAlignment="1"/>
    <xf numFmtId="0" fontId="14" fillId="0" borderId="42" xfId="0" applyFont="1" applyFill="1" applyBorder="1" applyAlignment="1">
      <alignment vertical="center"/>
    </xf>
    <xf numFmtId="183" fontId="12" fillId="9" borderId="42" xfId="2" applyNumberFormat="1" applyFont="1" applyFill="1" applyBorder="1" applyProtection="1">
      <protection locked="0"/>
    </xf>
    <xf numFmtId="183" fontId="12" fillId="9" borderId="71" xfId="2" applyNumberFormat="1" applyFont="1" applyFill="1" applyBorder="1" applyProtection="1">
      <protection locked="0"/>
    </xf>
    <xf numFmtId="183" fontId="12" fillId="9" borderId="99" xfId="2" applyNumberFormat="1" applyFont="1" applyFill="1" applyBorder="1" applyAlignment="1" applyProtection="1">
      <alignment horizontal="left" vertical="top" wrapText="1"/>
      <protection locked="0"/>
    </xf>
    <xf numFmtId="183" fontId="12" fillId="9" borderId="107" xfId="2" applyNumberFormat="1" applyFont="1" applyFill="1" applyBorder="1" applyAlignment="1" applyProtection="1">
      <alignment horizontal="left" vertical="top" wrapText="1"/>
      <protection locked="0"/>
    </xf>
    <xf numFmtId="183" fontId="12" fillId="20" borderId="8" xfId="0" applyNumberFormat="1" applyFont="1" applyFill="1" applyBorder="1" applyProtection="1">
      <protection locked="0"/>
    </xf>
    <xf numFmtId="190" fontId="12" fillId="17" borderId="8" xfId="1" applyNumberFormat="1" applyFont="1" applyFill="1" applyBorder="1" applyAlignment="1" applyProtection="1">
      <alignment vertical="top" wrapText="1"/>
      <protection locked="0"/>
    </xf>
    <xf numFmtId="190" fontId="12" fillId="17" borderId="3" xfId="1" applyNumberFormat="1" applyFont="1" applyFill="1" applyBorder="1" applyAlignment="1" applyProtection="1">
      <alignment vertical="top" wrapText="1"/>
      <protection locked="0"/>
    </xf>
    <xf numFmtId="190" fontId="12" fillId="17" borderId="42" xfId="1" applyNumberFormat="1" applyFont="1" applyFill="1" applyBorder="1" applyAlignment="1" applyProtection="1">
      <alignment vertical="top" wrapText="1"/>
      <protection locked="0"/>
    </xf>
    <xf numFmtId="0" fontId="12" fillId="17" borderId="3" xfId="0" applyNumberFormat="1" applyFont="1" applyFill="1" applyBorder="1" applyAlignment="1" applyProtection="1">
      <alignment horizontal="left"/>
      <protection locked="0"/>
    </xf>
    <xf numFmtId="3" fontId="12" fillId="20" borderId="8" xfId="0" applyNumberFormat="1" applyFont="1" applyFill="1" applyBorder="1" applyProtection="1">
      <protection locked="0"/>
    </xf>
    <xf numFmtId="1" fontId="12" fillId="20" borderId="42" xfId="0" applyNumberFormat="1" applyFont="1" applyFill="1" applyBorder="1" applyProtection="1">
      <protection locked="0"/>
    </xf>
    <xf numFmtId="183" fontId="12" fillId="20" borderId="0" xfId="0" applyNumberFormat="1" applyFont="1" applyFill="1" applyBorder="1" applyProtection="1">
      <protection locked="0"/>
    </xf>
    <xf numFmtId="183" fontId="12" fillId="20" borderId="42" xfId="0" applyNumberFormat="1" applyFont="1" applyFill="1" applyBorder="1" applyProtection="1">
      <protection locked="0"/>
    </xf>
    <xf numFmtId="182" fontId="12" fillId="17" borderId="84" xfId="0" applyNumberFormat="1" applyFont="1" applyFill="1" applyBorder="1" applyProtection="1">
      <protection locked="0"/>
    </xf>
    <xf numFmtId="0" fontId="12" fillId="21" borderId="3" xfId="0" applyNumberFormat="1" applyFont="1" applyFill="1" applyBorder="1" applyAlignment="1" applyProtection="1">
      <alignment horizontal="left" indent="2"/>
      <protection locked="0"/>
    </xf>
    <xf numFmtId="182" fontId="12" fillId="17" borderId="99" xfId="0" applyNumberFormat="1" applyFont="1" applyFill="1" applyBorder="1" applyAlignment="1" applyProtection="1">
      <protection locked="0"/>
    </xf>
    <xf numFmtId="0" fontId="17" fillId="17" borderId="5" xfId="0" applyFont="1" applyFill="1" applyBorder="1" applyAlignment="1" applyProtection="1">
      <alignment horizontal="left" vertical="center" wrapText="1"/>
      <protection locked="0"/>
    </xf>
    <xf numFmtId="175" fontId="12" fillId="17" borderId="8" xfId="7" applyNumberFormat="1" applyFont="1" applyFill="1" applyBorder="1" applyAlignment="1" applyProtection="1">
      <alignment horizontal="center" vertical="center" wrapText="1"/>
      <protection locked="0"/>
    </xf>
    <xf numFmtId="0" fontId="12" fillId="17" borderId="8" xfId="0" applyFont="1" applyFill="1" applyBorder="1" applyAlignment="1" applyProtection="1">
      <alignment horizontal="left" vertical="center" wrapText="1"/>
      <protection locked="0"/>
    </xf>
    <xf numFmtId="175" fontId="12" fillId="17" borderId="1" xfId="7" applyNumberFormat="1" applyFont="1" applyFill="1" applyBorder="1" applyAlignment="1" applyProtection="1">
      <alignment horizontal="center" vertical="center" wrapText="1"/>
      <protection locked="0"/>
    </xf>
    <xf numFmtId="0" fontId="6" fillId="17" borderId="34" xfId="3" applyFill="1" applyBorder="1" applyAlignment="1" applyProtection="1">
      <alignment horizontal="justify" wrapText="1"/>
      <protection locked="0"/>
    </xf>
    <xf numFmtId="0" fontId="6" fillId="17" borderId="34" xfId="3" applyNumberFormat="1" applyFill="1" applyBorder="1" applyAlignment="1" applyProtection="1">
      <alignment horizontal="justify" wrapText="1"/>
      <protection locked="0"/>
    </xf>
    <xf numFmtId="0" fontId="6" fillId="17" borderId="8" xfId="3" applyFill="1" applyBorder="1" applyAlignment="1" applyProtection="1">
      <alignment horizontal="justify" wrapText="1"/>
      <protection locked="0"/>
    </xf>
    <xf numFmtId="0" fontId="6" fillId="17" borderId="7" xfId="3" applyFill="1" applyBorder="1" applyAlignment="1" applyProtection="1">
      <alignment horizontal="justify" wrapText="1"/>
      <protection locked="0"/>
    </xf>
    <xf numFmtId="0" fontId="6" fillId="17" borderId="8" xfId="3" applyFill="1" applyBorder="1" applyAlignment="1" applyProtection="1">
      <alignment horizontal="justify" vertical="top" wrapText="1"/>
      <protection locked="0"/>
    </xf>
    <xf numFmtId="0" fontId="5" fillId="16" borderId="17" xfId="0" applyFont="1" applyFill="1" applyBorder="1" applyAlignment="1" applyProtection="1">
      <alignment horizontal="left"/>
    </xf>
    <xf numFmtId="0" fontId="5" fillId="16" borderId="35" xfId="0" applyFont="1" applyFill="1" applyBorder="1" applyAlignment="1" applyProtection="1">
      <alignment horizontal="left"/>
    </xf>
    <xf numFmtId="0" fontId="5" fillId="16" borderId="34" xfId="0" applyFont="1" applyFill="1" applyBorder="1" applyAlignment="1" applyProtection="1">
      <alignment horizontal="left"/>
    </xf>
    <xf numFmtId="0" fontId="5" fillId="5" borderId="17" xfId="0" applyFont="1" applyFill="1" applyBorder="1" applyAlignment="1" applyProtection="1">
      <alignment horizontal="left"/>
    </xf>
    <xf numFmtId="0" fontId="5" fillId="5" borderId="34" xfId="0" applyFont="1" applyFill="1" applyBorder="1" applyAlignment="1" applyProtection="1">
      <alignment horizontal="left"/>
    </xf>
    <xf numFmtId="0" fontId="5" fillId="6" borderId="17" xfId="0" applyFont="1" applyFill="1" applyBorder="1" applyAlignment="1" applyProtection="1">
      <alignment horizontal="center"/>
    </xf>
    <xf numFmtId="0" fontId="5" fillId="6" borderId="34" xfId="0" applyFont="1" applyFill="1" applyBorder="1" applyAlignment="1" applyProtection="1">
      <alignment horizontal="center"/>
    </xf>
    <xf numFmtId="0" fontId="5" fillId="11" borderId="17" xfId="0" applyFont="1" applyFill="1" applyBorder="1" applyAlignment="1" applyProtection="1">
      <alignment horizontal="center"/>
    </xf>
    <xf numFmtId="0" fontId="5" fillId="11" borderId="34" xfId="0" applyFont="1" applyFill="1" applyBorder="1" applyAlignment="1" applyProtection="1">
      <alignment horizontal="center"/>
    </xf>
    <xf numFmtId="0" fontId="5" fillId="5" borderId="35" xfId="0" applyFont="1" applyFill="1" applyBorder="1" applyAlignment="1" applyProtection="1">
      <alignment horizontal="left"/>
    </xf>
    <xf numFmtId="0" fontId="9" fillId="0" borderId="125" xfId="0" applyFont="1" applyBorder="1" applyAlignment="1" applyProtection="1">
      <alignment horizontal="justify" vertical="center" wrapText="1"/>
    </xf>
    <xf numFmtId="0" fontId="7" fillId="0" borderId="126" xfId="0" applyFont="1" applyBorder="1" applyAlignment="1">
      <alignment horizontal="justify" vertical="center" wrapText="1"/>
    </xf>
    <xf numFmtId="0" fontId="9" fillId="0" borderId="17" xfId="0" applyFont="1" applyBorder="1" applyAlignment="1" applyProtection="1">
      <alignment horizontal="justify" wrapText="1"/>
    </xf>
    <xf numFmtId="0" fontId="7" fillId="0" borderId="34" xfId="0" applyFont="1" applyBorder="1" applyAlignment="1">
      <alignment horizontal="justify" wrapText="1"/>
    </xf>
    <xf numFmtId="0" fontId="9" fillId="0" borderId="0" xfId="0" applyFont="1" applyBorder="1" applyAlignment="1" applyProtection="1">
      <alignment horizontal="justify" vertical="top" wrapText="1"/>
    </xf>
    <xf numFmtId="0" fontId="32" fillId="0" borderId="124" xfId="0" applyFont="1" applyBorder="1" applyAlignment="1" applyProtection="1">
      <alignment horizontal="justify" vertical="center" wrapText="1"/>
    </xf>
    <xf numFmtId="0" fontId="31" fillId="0" borderId="124" xfId="0" applyFont="1" applyBorder="1" applyAlignment="1">
      <alignment horizontal="justify" vertical="center" wrapText="1"/>
    </xf>
    <xf numFmtId="0" fontId="32" fillId="0" borderId="125" xfId="0" applyFont="1" applyBorder="1" applyAlignment="1" applyProtection="1">
      <alignment horizontal="justify" vertical="center"/>
    </xf>
    <xf numFmtId="0" fontId="7" fillId="0" borderId="126" xfId="0" applyFont="1" applyBorder="1" applyAlignment="1">
      <alignment horizontal="justify" vertical="center"/>
    </xf>
    <xf numFmtId="0" fontId="17" fillId="0" borderId="0" xfId="0" applyFont="1" applyBorder="1" applyAlignment="1" applyProtection="1">
      <alignment horizontal="left" vertical="top" wrapText="1"/>
    </xf>
    <xf numFmtId="0" fontId="7" fillId="0" borderId="0" xfId="0" applyFont="1" applyBorder="1" applyAlignment="1" applyProtection="1">
      <alignment horizontal="left" vertical="top" wrapText="1"/>
    </xf>
    <xf numFmtId="0" fontId="7" fillId="0" borderId="0" xfId="0" applyFont="1" applyBorder="1" applyAlignment="1" applyProtection="1">
      <alignment horizontal="justify" vertical="top" wrapText="1"/>
    </xf>
    <xf numFmtId="0" fontId="9" fillId="0" borderId="122" xfId="0" applyFont="1" applyBorder="1" applyAlignment="1" applyProtection="1">
      <alignment horizontal="justify" vertical="center" wrapText="1"/>
    </xf>
    <xf numFmtId="0" fontId="7" fillId="0" borderId="123" xfId="0" applyFont="1" applyBorder="1" applyAlignment="1">
      <alignment horizontal="justify" vertical="center" wrapText="1"/>
    </xf>
    <xf numFmtId="0" fontId="9" fillId="0" borderId="120" xfId="0" applyFont="1" applyBorder="1" applyAlignment="1" applyProtection="1">
      <alignment horizontal="justify" wrapText="1"/>
    </xf>
    <xf numFmtId="0" fontId="7" fillId="0" borderId="121" xfId="0" applyFont="1" applyBorder="1" applyAlignment="1">
      <alignment horizontal="justify" wrapText="1"/>
    </xf>
    <xf numFmtId="0" fontId="9" fillId="0" borderId="3" xfId="0" applyFont="1" applyFill="1" applyBorder="1" applyAlignment="1" applyProtection="1">
      <alignment horizontal="justify" wrapText="1"/>
    </xf>
    <xf numFmtId="0" fontId="7" fillId="0" borderId="8" xfId="0" applyFont="1" applyFill="1" applyBorder="1" applyAlignment="1">
      <alignment horizontal="justify" wrapText="1"/>
    </xf>
    <xf numFmtId="0" fontId="32" fillId="0" borderId="122" xfId="0" applyFont="1" applyBorder="1" applyAlignment="1" applyProtection="1">
      <alignment horizontal="justify" vertical="center" wrapText="1"/>
    </xf>
    <xf numFmtId="0" fontId="31" fillId="0" borderId="123" xfId="0" applyFont="1" applyBorder="1" applyAlignment="1">
      <alignment horizontal="justify" vertical="center" wrapText="1"/>
    </xf>
    <xf numFmtId="0" fontId="9" fillId="0" borderId="12" xfId="0" applyFont="1" applyFill="1" applyBorder="1" applyAlignment="1" applyProtection="1">
      <alignment horizontal="justify" wrapText="1"/>
    </xf>
    <xf numFmtId="0" fontId="7" fillId="0" borderId="7" xfId="0" applyFont="1" applyFill="1" applyBorder="1" applyAlignment="1">
      <alignment horizontal="justify" wrapText="1"/>
    </xf>
    <xf numFmtId="0" fontId="14" fillId="0" borderId="38" xfId="0" applyFont="1" applyFill="1" applyBorder="1" applyAlignment="1">
      <alignment horizontal="center" vertical="center" wrapText="1"/>
    </xf>
    <xf numFmtId="0" fontId="14" fillId="0" borderId="39" xfId="0" applyFont="1" applyFill="1" applyBorder="1" applyAlignment="1">
      <alignment horizontal="center" vertical="center" wrapText="1"/>
    </xf>
    <xf numFmtId="0" fontId="14" fillId="0" borderId="40" xfId="0" applyFont="1" applyFill="1" applyBorder="1" applyAlignment="1">
      <alignment horizontal="center" vertical="center" wrapText="1"/>
    </xf>
    <xf numFmtId="0" fontId="14" fillId="0" borderId="38" xfId="0" applyFont="1" applyFill="1" applyBorder="1" applyAlignment="1">
      <alignment horizontal="center" vertical="center"/>
    </xf>
    <xf numFmtId="0" fontId="14" fillId="0" borderId="39" xfId="0" applyFont="1" applyFill="1" applyBorder="1" applyAlignment="1">
      <alignment horizontal="center" vertical="center"/>
    </xf>
    <xf numFmtId="0" fontId="9" fillId="0" borderId="9" xfId="0" applyFont="1" applyFill="1" applyBorder="1" applyAlignment="1">
      <alignment horizontal="left"/>
    </xf>
    <xf numFmtId="0" fontId="23" fillId="0" borderId="9" xfId="0" applyFont="1" applyBorder="1" applyAlignment="1"/>
    <xf numFmtId="0" fontId="17" fillId="0" borderId="0" xfId="0" applyFont="1" applyFill="1" applyBorder="1" applyAlignment="1" applyProtection="1">
      <alignment horizontal="left" vertical="top" wrapText="1"/>
    </xf>
    <xf numFmtId="0" fontId="14" fillId="0" borderId="40" xfId="0" applyFont="1" applyFill="1" applyBorder="1" applyAlignment="1">
      <alignment horizontal="center" vertical="center"/>
    </xf>
    <xf numFmtId="0" fontId="14" fillId="0" borderId="38" xfId="0" applyFont="1" applyFill="1" applyBorder="1" applyAlignment="1" applyProtection="1">
      <alignment horizontal="center" vertical="center"/>
    </xf>
    <xf numFmtId="0" fontId="14" fillId="0" borderId="39" xfId="0" applyFont="1" applyFill="1" applyBorder="1" applyAlignment="1" applyProtection="1">
      <alignment horizontal="center" vertical="center"/>
    </xf>
    <xf numFmtId="0" fontId="14" fillId="0" borderId="38" xfId="0" applyFont="1" applyFill="1" applyBorder="1" applyAlignment="1" applyProtection="1">
      <alignment horizontal="center" vertical="center" wrapText="1"/>
    </xf>
    <xf numFmtId="0" fontId="14" fillId="0" borderId="39" xfId="0" applyFont="1" applyFill="1" applyBorder="1" applyAlignment="1" applyProtection="1">
      <alignment horizontal="center" vertical="center" wrapText="1"/>
    </xf>
    <xf numFmtId="0" fontId="14" fillId="0" borderId="40" xfId="0" applyFont="1" applyFill="1" applyBorder="1" applyAlignment="1" applyProtection="1">
      <alignment horizontal="center" vertical="center" wrapText="1"/>
    </xf>
    <xf numFmtId="0" fontId="14" fillId="2" borderId="17" xfId="0" applyFont="1" applyFill="1" applyBorder="1" applyAlignment="1">
      <alignment horizontal="center" vertical="center" wrapText="1"/>
    </xf>
    <xf numFmtId="0" fontId="23" fillId="0" borderId="35" xfId="0" applyFont="1" applyBorder="1"/>
    <xf numFmtId="0" fontId="23" fillId="0" borderId="34" xfId="0" applyFont="1" applyBorder="1"/>
    <xf numFmtId="0" fontId="14" fillId="2" borderId="35" xfId="0" applyFont="1" applyFill="1" applyBorder="1" applyAlignment="1">
      <alignment horizontal="center" vertical="center" wrapText="1"/>
    </xf>
    <xf numFmtId="0" fontId="14" fillId="2" borderId="34" xfId="0" applyFont="1" applyFill="1" applyBorder="1" applyAlignment="1">
      <alignment horizontal="center" vertical="center" wrapText="1"/>
    </xf>
    <xf numFmtId="0" fontId="17" fillId="0" borderId="0" xfId="0" applyFont="1" applyFill="1" applyBorder="1" applyAlignment="1" applyProtection="1">
      <alignment horizontal="left"/>
    </xf>
    <xf numFmtId="0" fontId="17" fillId="0" borderId="0" xfId="0" quotePrefix="1" applyFont="1" applyBorder="1" applyAlignment="1" applyProtection="1">
      <alignment horizontal="left" wrapText="1"/>
    </xf>
    <xf numFmtId="0" fontId="17" fillId="0" borderId="0" xfId="0" applyFont="1" applyBorder="1" applyAlignment="1" applyProtection="1">
      <alignment horizontal="left" wrapText="1"/>
    </xf>
    <xf numFmtId="0" fontId="14" fillId="0" borderId="40" xfId="0" applyFont="1" applyFill="1" applyBorder="1" applyAlignment="1" applyProtection="1">
      <alignment horizontal="center" vertical="center"/>
    </xf>
    <xf numFmtId="0" fontId="14" fillId="0" borderId="12" xfId="0" applyFont="1" applyFill="1" applyBorder="1" applyAlignment="1" applyProtection="1">
      <alignment horizontal="center" vertical="center"/>
    </xf>
    <xf numFmtId="0" fontId="14" fillId="0" borderId="4" xfId="0" applyFont="1" applyFill="1" applyBorder="1" applyAlignment="1" applyProtection="1">
      <alignment horizontal="center" vertical="center"/>
    </xf>
    <xf numFmtId="0" fontId="14" fillId="0" borderId="43" xfId="0" applyFont="1" applyFill="1" applyBorder="1" applyAlignment="1" applyProtection="1">
      <alignment horizontal="center" vertical="center"/>
    </xf>
    <xf numFmtId="0" fontId="14" fillId="0" borderId="36" xfId="0" applyFont="1" applyFill="1" applyBorder="1" applyAlignment="1" applyProtection="1">
      <alignment horizontal="center" vertical="center"/>
    </xf>
    <xf numFmtId="0" fontId="14" fillId="0" borderId="12" xfId="0" applyFont="1" applyFill="1" applyBorder="1" applyAlignment="1">
      <alignment horizontal="center" vertical="center"/>
    </xf>
    <xf numFmtId="0" fontId="14" fillId="0" borderId="3" xfId="0" applyFont="1" applyFill="1" applyBorder="1" applyAlignment="1">
      <alignment horizontal="center" vertical="center"/>
    </xf>
    <xf numFmtId="0" fontId="14" fillId="0" borderId="43" xfId="0" applyFont="1" applyFill="1" applyBorder="1" applyAlignment="1">
      <alignment horizontal="center" vertical="center"/>
    </xf>
    <xf numFmtId="0" fontId="14" fillId="0" borderId="42" xfId="0" applyFont="1" applyFill="1" applyBorder="1" applyAlignment="1">
      <alignment horizontal="center" vertical="center"/>
    </xf>
    <xf numFmtId="0" fontId="14" fillId="0" borderId="43" xfId="0" applyFont="1" applyFill="1" applyBorder="1" applyAlignment="1" applyProtection="1">
      <alignment horizontal="center" vertical="top" wrapText="1"/>
    </xf>
    <xf numFmtId="0" fontId="14" fillId="0" borderId="36" xfId="0" applyFont="1" applyFill="1" applyBorder="1" applyAlignment="1" applyProtection="1">
      <alignment horizontal="center" vertical="top" wrapText="1"/>
    </xf>
    <xf numFmtId="0" fontId="14" fillId="0" borderId="11" xfId="0" applyFont="1" applyFill="1" applyBorder="1" applyAlignment="1">
      <alignment horizontal="center" vertical="top" wrapText="1"/>
    </xf>
    <xf numFmtId="0" fontId="14" fillId="0" borderId="5" xfId="0" applyFont="1" applyFill="1" applyBorder="1" applyAlignment="1">
      <alignment horizontal="center" vertical="top" wrapText="1"/>
    </xf>
    <xf numFmtId="0" fontId="14" fillId="0" borderId="36" xfId="0" applyFont="1" applyFill="1" applyBorder="1" applyAlignment="1">
      <alignment horizontal="center" vertical="center"/>
    </xf>
    <xf numFmtId="0" fontId="14" fillId="0" borderId="75" xfId="0" applyFont="1" applyFill="1" applyBorder="1" applyAlignment="1">
      <alignment horizontal="center" vertical="center" wrapText="1"/>
    </xf>
    <xf numFmtId="0" fontId="14" fillId="0" borderId="77"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7" fillId="0" borderId="0" xfId="0" applyFont="1" applyBorder="1" applyAlignment="1">
      <alignment horizontal="left" vertical="top" wrapText="1"/>
    </xf>
    <xf numFmtId="0" fontId="12" fillId="0" borderId="47" xfId="0" applyFont="1" applyBorder="1" applyAlignment="1">
      <alignment horizontal="left" vertical="center" wrapText="1"/>
    </xf>
    <xf numFmtId="0" fontId="14" fillId="0" borderId="39" xfId="0" applyFont="1" applyFill="1" applyBorder="1" applyAlignment="1">
      <alignment horizontal="center" vertical="top" wrapText="1"/>
    </xf>
    <xf numFmtId="0" fontId="14" fillId="0" borderId="40" xfId="0" applyFont="1" applyFill="1" applyBorder="1" applyAlignment="1">
      <alignment horizontal="center" vertical="top" wrapText="1"/>
    </xf>
    <xf numFmtId="0" fontId="14" fillId="0" borderId="11"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2" fillId="0" borderId="11" xfId="0" applyFont="1" applyFill="1" applyBorder="1" applyAlignment="1">
      <alignment horizontal="center" wrapText="1"/>
    </xf>
    <xf numFmtId="0" fontId="12" fillId="0" borderId="5" xfId="0" applyFont="1" applyFill="1" applyBorder="1" applyAlignment="1">
      <alignment horizontal="center" wrapText="1"/>
    </xf>
    <xf numFmtId="182" fontId="9" fillId="22" borderId="2" xfId="0" applyNumberFormat="1" applyFont="1" applyFill="1" applyBorder="1" applyAlignment="1" applyProtection="1">
      <alignment horizontal="center" vertical="center"/>
      <protection locked="0"/>
    </xf>
    <xf numFmtId="0" fontId="14" fillId="0" borderId="66" xfId="0" applyFont="1" applyFill="1" applyBorder="1" applyAlignment="1">
      <alignment horizontal="center" vertical="center" wrapText="1"/>
    </xf>
    <xf numFmtId="0" fontId="14" fillId="0" borderId="37" xfId="0" applyFont="1" applyFill="1" applyBorder="1" applyAlignment="1">
      <alignment horizontal="center" vertical="center" wrapText="1"/>
    </xf>
    <xf numFmtId="0" fontId="14" fillId="0" borderId="43" xfId="0" applyFont="1" applyFill="1" applyBorder="1" applyAlignment="1">
      <alignment horizontal="center" vertical="center" wrapText="1"/>
    </xf>
    <xf numFmtId="0" fontId="14" fillId="0" borderId="36" xfId="0" applyFont="1" applyFill="1" applyBorder="1" applyAlignment="1">
      <alignment horizontal="center" vertical="center" wrapText="1"/>
    </xf>
    <xf numFmtId="0" fontId="14" fillId="0" borderId="45" xfId="0" applyFont="1" applyFill="1" applyBorder="1" applyAlignment="1">
      <alignment horizontal="center" vertical="center"/>
    </xf>
    <xf numFmtId="0" fontId="14" fillId="0" borderId="47" xfId="0" applyFont="1" applyFill="1" applyBorder="1" applyAlignment="1">
      <alignment horizontal="center" vertical="center"/>
    </xf>
    <xf numFmtId="0" fontId="14" fillId="0" borderId="11" xfId="0" applyFont="1" applyFill="1" applyBorder="1" applyAlignment="1" applyProtection="1">
      <alignment horizontal="center" vertical="center" wrapText="1"/>
    </xf>
    <xf numFmtId="0" fontId="14" fillId="0" borderId="5" xfId="0" applyFont="1" applyFill="1" applyBorder="1" applyAlignment="1" applyProtection="1">
      <alignment horizontal="center" vertical="center" wrapText="1"/>
    </xf>
    <xf numFmtId="0" fontId="14" fillId="0" borderId="45" xfId="0" applyFont="1" applyFill="1" applyBorder="1" applyAlignment="1" applyProtection="1">
      <alignment horizontal="center" vertical="center"/>
    </xf>
    <xf numFmtId="0" fontId="14" fillId="0" borderId="64" xfId="0" applyFont="1" applyFill="1" applyBorder="1" applyAlignment="1" applyProtection="1">
      <alignment horizontal="center" vertical="center"/>
    </xf>
    <xf numFmtId="0" fontId="14" fillId="0" borderId="42" xfId="0" applyFont="1" applyFill="1" applyBorder="1" applyAlignment="1" applyProtection="1">
      <alignment horizontal="center" vertical="center"/>
    </xf>
    <xf numFmtId="0" fontId="14" fillId="0" borderId="43" xfId="0" applyFont="1" applyFill="1" applyBorder="1" applyAlignment="1" applyProtection="1">
      <alignment horizontal="center" vertical="center" wrapText="1"/>
    </xf>
    <xf numFmtId="0" fontId="14" fillId="0" borderId="36" xfId="0" applyFont="1" applyFill="1" applyBorder="1" applyAlignment="1" applyProtection="1">
      <alignment horizontal="center" vertical="center" wrapText="1"/>
    </xf>
    <xf numFmtId="0" fontId="14" fillId="0" borderId="75" xfId="0" applyFont="1" applyFill="1" applyBorder="1" applyAlignment="1" applyProtection="1">
      <alignment horizontal="center" vertical="center" wrapText="1"/>
    </xf>
    <xf numFmtId="0" fontId="14" fillId="0" borderId="77" xfId="0" applyFont="1" applyFill="1" applyBorder="1" applyAlignment="1" applyProtection="1">
      <alignment horizontal="center" vertical="center" wrapText="1"/>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wrapText="1"/>
      <protection locked="0"/>
    </xf>
    <xf numFmtId="0" fontId="14" fillId="0" borderId="43" xfId="0" applyFont="1" applyFill="1" applyBorder="1" applyAlignment="1">
      <alignment horizontal="center" vertical="top" wrapText="1"/>
    </xf>
    <xf numFmtId="0" fontId="14" fillId="0" borderId="36" xfId="0" applyFont="1" applyFill="1" applyBorder="1" applyAlignment="1">
      <alignment horizontal="center" vertical="top" wrapText="1"/>
    </xf>
    <xf numFmtId="0" fontId="14" fillId="0" borderId="119" xfId="0" applyFont="1" applyFill="1" applyBorder="1" applyAlignment="1">
      <alignment horizontal="center" vertical="center" wrapText="1"/>
    </xf>
    <xf numFmtId="0" fontId="23" fillId="0" borderId="39" xfId="0" applyFont="1" applyFill="1" applyBorder="1" applyAlignment="1">
      <alignment horizontal="center" vertical="center" wrapText="1"/>
    </xf>
    <xf numFmtId="0" fontId="23" fillId="0" borderId="40" xfId="0" applyFont="1" applyFill="1" applyBorder="1" applyAlignment="1">
      <alignment horizontal="center" vertical="center" wrapText="1"/>
    </xf>
    <xf numFmtId="0" fontId="14" fillId="0" borderId="11" xfId="0" applyFont="1" applyFill="1" applyBorder="1" applyAlignment="1">
      <alignment horizontal="center" vertical="center"/>
    </xf>
    <xf numFmtId="0" fontId="14" fillId="0" borderId="1" xfId="0" applyFont="1" applyFill="1" applyBorder="1" applyAlignment="1">
      <alignment horizontal="center" vertical="center"/>
    </xf>
    <xf numFmtId="0" fontId="17" fillId="0" borderId="0" xfId="0" applyNumberFormat="1" applyFont="1" applyBorder="1" applyAlignment="1" applyProtection="1">
      <alignment wrapText="1"/>
    </xf>
    <xf numFmtId="0" fontId="23" fillId="0" borderId="0" xfId="0" applyFont="1" applyAlignment="1" applyProtection="1">
      <alignment wrapText="1"/>
    </xf>
    <xf numFmtId="0" fontId="14" fillId="0" borderId="6"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45" xfId="0" applyFont="1" applyFill="1" applyBorder="1" applyAlignment="1">
      <alignment horizontal="center" vertical="center" wrapText="1"/>
    </xf>
    <xf numFmtId="0" fontId="14" fillId="0" borderId="64" xfId="0" applyFont="1" applyFill="1" applyBorder="1" applyAlignment="1">
      <alignment horizontal="center" vertical="center" wrapText="1"/>
    </xf>
    <xf numFmtId="49" fontId="14" fillId="0" borderId="12" xfId="0" applyNumberFormat="1" applyFont="1" applyFill="1" applyBorder="1" applyAlignment="1">
      <alignment horizontal="center" vertical="center" wrapText="1"/>
    </xf>
    <xf numFmtId="49" fontId="14" fillId="0" borderId="3" xfId="0" applyNumberFormat="1"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103" xfId="0" applyFont="1" applyFill="1" applyBorder="1" applyAlignment="1">
      <alignment horizontal="center" vertical="center" wrapText="1"/>
    </xf>
    <xf numFmtId="0" fontId="14" fillId="0" borderId="99" xfId="0" applyFont="1" applyFill="1" applyBorder="1" applyAlignment="1">
      <alignment horizontal="center" vertical="center" wrapText="1"/>
    </xf>
    <xf numFmtId="0" fontId="14" fillId="0" borderId="93" xfId="0" applyFont="1" applyFill="1" applyBorder="1" applyAlignment="1">
      <alignment horizontal="center" vertical="center" wrapText="1"/>
    </xf>
    <xf numFmtId="0" fontId="14" fillId="0" borderId="42"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4" fillId="0" borderId="76" xfId="0" applyFont="1" applyFill="1" applyBorder="1" applyAlignment="1">
      <alignment horizontal="center" vertical="center" wrapText="1"/>
    </xf>
    <xf numFmtId="0" fontId="5" fillId="2" borderId="17" xfId="0" applyFont="1" applyFill="1" applyBorder="1" applyAlignment="1">
      <alignment horizontal="center"/>
    </xf>
    <xf numFmtId="0" fontId="5" fillId="2" borderId="35" xfId="0" applyFont="1" applyFill="1" applyBorder="1" applyAlignment="1">
      <alignment horizontal="center"/>
    </xf>
    <xf numFmtId="0" fontId="5" fillId="2" borderId="34" xfId="0" applyFont="1" applyFill="1" applyBorder="1" applyAlignment="1">
      <alignment horizontal="center"/>
    </xf>
    <xf numFmtId="0" fontId="5" fillId="2" borderId="11"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17" xfId="0" applyFont="1" applyFill="1" applyBorder="1" applyAlignment="1">
      <alignment horizontal="center" vertical="center"/>
    </xf>
    <xf numFmtId="0" fontId="5" fillId="2" borderId="35" xfId="0" applyFont="1" applyFill="1" applyBorder="1" applyAlignment="1">
      <alignment horizontal="center" vertical="center"/>
    </xf>
    <xf numFmtId="0" fontId="5" fillId="2" borderId="127" xfId="0" applyFont="1" applyFill="1" applyBorder="1" applyAlignment="1">
      <alignment horizontal="center" vertical="center" wrapText="1"/>
    </xf>
    <xf numFmtId="0" fontId="5" fillId="2" borderId="128" xfId="0" applyFont="1" applyFill="1" applyBorder="1" applyAlignment="1">
      <alignment horizontal="center" vertical="center" wrapText="1"/>
    </xf>
    <xf numFmtId="0" fontId="5" fillId="2" borderId="129" xfId="0" applyFont="1" applyFill="1" applyBorder="1" applyAlignment="1">
      <alignment horizontal="center" vertical="center" wrapText="1"/>
    </xf>
    <xf numFmtId="0" fontId="5" fillId="5" borderId="17" xfId="0" applyFont="1" applyFill="1" applyBorder="1" applyAlignment="1">
      <alignment horizontal="center" vertical="top" wrapText="1"/>
    </xf>
    <xf numFmtId="0" fontId="5" fillId="5" borderId="34" xfId="0" applyFont="1" applyFill="1" applyBorder="1" applyAlignment="1">
      <alignment horizontal="center" vertical="top" wrapText="1"/>
    </xf>
    <xf numFmtId="0" fontId="5" fillId="14" borderId="17" xfId="0" applyFont="1" applyFill="1" applyBorder="1" applyAlignment="1">
      <alignment horizontal="center"/>
    </xf>
    <xf numFmtId="0" fontId="5" fillId="14" borderId="35" xfId="0" applyFont="1" applyFill="1" applyBorder="1" applyAlignment="1">
      <alignment horizontal="center"/>
    </xf>
    <xf numFmtId="0" fontId="5" fillId="14" borderId="34" xfId="0" applyFont="1" applyFill="1" applyBorder="1" applyAlignment="1">
      <alignment horizontal="center"/>
    </xf>
    <xf numFmtId="0" fontId="5" fillId="5" borderId="17" xfId="0" applyFont="1" applyFill="1" applyBorder="1" applyAlignment="1">
      <alignment horizontal="center"/>
    </xf>
    <xf numFmtId="0" fontId="5" fillId="5" borderId="35" xfId="0" applyFont="1" applyFill="1" applyBorder="1" applyAlignment="1">
      <alignment horizontal="center"/>
    </xf>
    <xf numFmtId="0" fontId="5" fillId="5" borderId="34" xfId="0" applyFont="1" applyFill="1" applyBorder="1" applyAlignment="1">
      <alignment horizontal="center"/>
    </xf>
  </cellXfs>
  <cellStyles count="9">
    <cellStyle name="Comma" xfId="1" builtinId="3"/>
    <cellStyle name="Comma_B Schedule Municipal Adjustments Budget - 23 March 2009 cb" xfId="2"/>
    <cellStyle name="Hyperlink" xfId="3" builtinId="8"/>
    <cellStyle name="Hyperlink_AppA_Muncde_2010" xfId="4"/>
    <cellStyle name="Hyperlink_Bills" xfId="5"/>
    <cellStyle name="Normal" xfId="0" builtinId="0"/>
    <cellStyle name="Normal_Final cover - LG Reporting" xfId="6"/>
    <cellStyle name="Percent" xfId="7" builtinId="5"/>
    <cellStyle name="Percent 10 2" xfId="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4.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5.xml"/><Relationship Id="rId77"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6.xml"/><Relationship Id="rId75"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25" fmlaLink="MuniEntities" fmlaRange="$X$4:$X$5" noThreeD="1" val="0"/>
</file>

<file path=xl/ctrlProps/ctrlProp2.xml><?xml version="1.0" encoding="utf-8"?>
<formControlPr xmlns="http://schemas.microsoft.com/office/spreadsheetml/2009/9/main" objectType="Drop" dropLines="2" dropStyle="combo" dx="25" fmlaLink="MuniType" fmlaRange="$X$7:$X$15" noThreeD="1" sel="2" val="0"/>
</file>

<file path=xl/ctrlProps/ctrlProp3.xml><?xml version="1.0" encoding="utf-8"?>
<formControlPr xmlns="http://schemas.microsoft.com/office/spreadsheetml/2009/9/main" objectType="Drop" dropLines="6" dropStyle="combo" dx="25" fmlaLink="$X$33" fmlaRange="$X$17:$X$31" noThreeD="1" sel="6" val="5"/>
</file>

<file path=xl/ctrlProps/ctrlProp4.xml><?xml version="1.0" encoding="utf-8"?>
<formControlPr xmlns="http://schemas.microsoft.com/office/spreadsheetml/2009/9/main" objectType="Drop" dropLines="10" dropStyle="combo" dx="25" fmlaLink="'Lookup and lists'!$B$27" fmlaRange="'Lookup and lists'!$B$29:$C$307" noThreeD="1" sel="95" val="94"/>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6.emf"/><Relationship Id="rId3" Type="http://schemas.openxmlformats.org/officeDocument/2006/relationships/hyperlink" Target="http://mfma.treasury.gov.za/Circulars/Pages/default.aspx" TargetMode="External"/><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RegulationsandGazettes/Municipal%20Budget%20and%20Reporting%20Regulations/regulation2012-2013/Documents/Budget%20Format%20Guidelines_%202012_13.pdf" TargetMode="External"/><Relationship Id="rId5" Type="http://schemas.openxmlformats.org/officeDocument/2006/relationships/hyperlink" Target="http://mfma.treasury.gov.za/Guidelines/Pages/DummyBudgetGuide.aspx" TargetMode="External"/><Relationship Id="rId4" Type="http://schemas.openxmlformats.org/officeDocument/2006/relationships/hyperlink" Target="http://mfma.treasury.gov.za/Return_Form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69850</xdr:colOff>
      <xdr:row>39</xdr:row>
      <xdr:rowOff>88900</xdr:rowOff>
    </xdr:to>
    <xdr:grpSp>
      <xdr:nvGrpSpPr>
        <xdr:cNvPr id="185759" name="Group 316"/>
        <xdr:cNvGrpSpPr>
          <a:grpSpLocks/>
        </xdr:cNvGrpSpPr>
      </xdr:nvGrpSpPr>
      <xdr:grpSpPr bwMode="auto">
        <a:xfrm>
          <a:off x="0" y="0"/>
          <a:ext cx="7893050" cy="6527800"/>
          <a:chOff x="0" y="0"/>
          <a:chExt cx="791" cy="672"/>
        </a:xfrm>
      </xdr:grpSpPr>
      <xdr:grpSp>
        <xdr:nvGrpSpPr>
          <xdr:cNvPr id="185761" name="Group 11"/>
          <xdr:cNvGrpSpPr>
            <a:grpSpLocks/>
          </xdr:cNvGrpSpPr>
        </xdr:nvGrpSpPr>
        <xdr:grpSpPr bwMode="auto">
          <a:xfrm>
            <a:off x="0" y="0"/>
            <a:ext cx="791" cy="672"/>
            <a:chOff x="0" y="0"/>
            <a:chExt cx="791" cy="672"/>
          </a:xfrm>
        </xdr:grpSpPr>
        <xdr:grpSp>
          <xdr:nvGrpSpPr>
            <xdr:cNvPr id="185763" name="Group 12"/>
            <xdr:cNvGrpSpPr>
              <a:grpSpLocks/>
            </xdr:cNvGrpSpPr>
          </xdr:nvGrpSpPr>
          <xdr:grpSpPr bwMode="auto">
            <a:xfrm>
              <a:off x="0" y="0"/>
              <a:ext cx="791" cy="672"/>
              <a:chOff x="12" y="17"/>
              <a:chExt cx="791" cy="672"/>
            </a:xfrm>
          </xdr:grpSpPr>
          <xdr:pic>
            <xdr:nvPicPr>
              <xdr:cNvPr id="185765"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85766"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85767" name="Group 15"/>
              <xdr:cNvGrpSpPr>
                <a:grpSpLocks/>
              </xdr:cNvGrpSpPr>
            </xdr:nvGrpSpPr>
            <xdr:grpSpPr bwMode="auto">
              <a:xfrm>
                <a:off x="416" y="255"/>
                <a:ext cx="367" cy="413"/>
                <a:chOff x="416" y="255"/>
                <a:chExt cx="367" cy="413"/>
              </a:xfrm>
            </xdr:grpSpPr>
            <xdr:pic>
              <xdr:nvPicPr>
                <xdr:cNvPr id="185772"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85773" name="Group 17"/>
                <xdr:cNvGrpSpPr>
                  <a:grpSpLocks/>
                </xdr:cNvGrpSpPr>
              </xdr:nvGrpSpPr>
              <xdr:grpSpPr bwMode="auto">
                <a:xfrm>
                  <a:off x="432" y="264"/>
                  <a:ext cx="286" cy="128"/>
                  <a:chOff x="426" y="263"/>
                  <a:chExt cx="290" cy="130"/>
                </a:xfrm>
              </xdr:grpSpPr>
              <xdr:pic>
                <xdr:nvPicPr>
                  <xdr:cNvPr id="185775" name="Picture 52" descr="Letter Head"/>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5776"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xdr:cNvSpPr txBox="1">
                  <a:spLocks noChangeArrowheads="1"/>
                </xdr:cNvSpPr>
              </xdr:nvSpPr>
              <xdr:spPr bwMode="auto">
                <a:xfrm>
                  <a:off x="435" y="393"/>
                  <a:ext cx="333" cy="254"/>
                </a:xfrm>
                <a:prstGeom prst="rect">
                  <a:avLst/>
                </a:prstGeom>
                <a:noFill/>
                <a:ln w="9525">
                  <a:noFill/>
                  <a:miter lim="800000"/>
                  <a:headEnd/>
                  <a:tailEnd/>
                </a:ln>
              </xdr:spPr>
              <xdr:txBody>
                <a:bodyPr vertOverflow="clip" wrap="square" lIns="27432" tIns="27432" rIns="0" bIns="0" anchor="t" upright="1"/>
                <a:lstStyle/>
                <a:p>
                  <a:pPr algn="l" rtl="1">
                    <a:defRPr sz="1000"/>
                  </a:pPr>
                  <a:endParaRPr lang="en-US" sz="1200" b="1" i="0" u="sng" strike="noStrike">
                    <a:solidFill>
                      <a:srgbClr val="000000"/>
                    </a:solidFill>
                    <a:latin typeface="Calibri"/>
                  </a:endParaRPr>
                </a:p>
                <a:p>
                  <a:pPr algn="l" rtl="1">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Ilze</a:t>
                  </a:r>
                  <a:r>
                    <a:rPr lang="en-US" sz="1000" b="0" i="0" strike="noStrike" baseline="0">
                      <a:solidFill>
                        <a:srgbClr val="000000"/>
                      </a:solidFill>
                      <a:latin typeface="Calibri"/>
                    </a:rPr>
                    <a:t> Baron</a:t>
                  </a:r>
                  <a:r>
                    <a:rPr lang="en-US" sz="1000" b="0" i="0" strike="noStrike">
                      <a:solidFill>
                        <a:srgbClr val="000000"/>
                      </a:solidFill>
                      <a:latin typeface="Calibri"/>
                    </a:rPr>
                    <a:t> </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395-6742 </a:t>
                  </a:r>
                </a:p>
                <a:p>
                  <a:pPr algn="l" rtl="1">
                    <a:defRPr sz="1000"/>
                  </a:pPr>
                  <a:r>
                    <a:rPr lang="en-US" sz="1000" b="0" i="0" strike="noStrike">
                      <a:solidFill>
                        <a:srgbClr val="000000"/>
                      </a:solidFill>
                      <a:latin typeface="Calibri"/>
                    </a:rPr>
                    <a:t>Electronic submissions: lgdocuments@treasury.gov.za</a:t>
                  </a:r>
                </a:p>
                <a:p>
                  <a:pPr algn="l" rtl="1">
                    <a:defRPr sz="1000"/>
                  </a:pPr>
                  <a:endParaRPr lang="en-US" sz="1000" b="0" i="0" strike="noStrike">
                    <a:solidFill>
                      <a:srgbClr val="000000"/>
                    </a:solidFill>
                    <a:latin typeface="Calibri"/>
                  </a:endParaRPr>
                </a:p>
              </xdr:txBody>
            </xdr:sp>
          </xdr:grpSp>
          <xdr:grpSp>
            <xdr:nvGrpSpPr>
              <xdr:cNvPr id="185768" name="Group 21"/>
              <xdr:cNvGrpSpPr>
                <a:grpSpLocks/>
              </xdr:cNvGrpSpPr>
            </xdr:nvGrpSpPr>
            <xdr:grpSpPr bwMode="auto">
              <a:xfrm>
                <a:off x="76" y="364"/>
                <a:ext cx="289" cy="256"/>
                <a:chOff x="76" y="364"/>
                <a:chExt cx="289" cy="256"/>
              </a:xfrm>
            </xdr:grpSpPr>
            <xdr:pic>
              <xdr:nvPicPr>
                <xdr:cNvPr id="185769" name="Picture 22" descr="J1c"/>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85770" name="Picture 23" descr="J1a"/>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85771" name="Picture 24" descr="J1b"/>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85764" name="Picture 25" descr="A1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xdr:cNvSpPr txBox="1">
            <a:spLocks noChangeArrowheads="1"/>
          </xdr:cNvSpPr>
        </xdr:nvSpPr>
        <xdr:spPr bwMode="auto">
          <a:xfrm>
            <a:off x="666" y="196"/>
            <a:ext cx="109" cy="18"/>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Version 2.5</a:t>
            </a:r>
          </a:p>
        </xdr:txBody>
      </xdr:sp>
    </xdr:grpSp>
    <xdr:clientData/>
  </xdr:twoCellAnchor>
  <xdr:twoCellAnchor>
    <xdr:from>
      <xdr:col>1</xdr:col>
      <xdr:colOff>85725</xdr:colOff>
      <xdr:row>15</xdr:row>
      <xdr:rowOff>152400</xdr:rowOff>
    </xdr:from>
    <xdr:to>
      <xdr:col>4</xdr:col>
      <xdr:colOff>504825</xdr:colOff>
      <xdr:row>19</xdr:row>
      <xdr:rowOff>0</xdr:rowOff>
    </xdr:to>
    <xdr:sp macro="[0]!GoToInstructions" textlink="">
      <xdr:nvSpPr>
        <xdr:cNvPr id="122906" name="Text Box 26"/>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419100</xdr:colOff>
      <xdr:row>46</xdr:row>
      <xdr:rowOff>63500</xdr:rowOff>
    </xdr:to>
    <xdr:pic>
      <xdr:nvPicPr>
        <xdr:cNvPr id="192811"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734300" cy="736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171450</xdr:colOff>
      <xdr:row>28</xdr:row>
      <xdr:rowOff>38100</xdr:rowOff>
    </xdr:from>
    <xdr:to>
      <xdr:col>6</xdr:col>
      <xdr:colOff>381000</xdr:colOff>
      <xdr:row>45</xdr:row>
      <xdr:rowOff>63500</xdr:rowOff>
    </xdr:to>
    <xdr:pic>
      <xdr:nvPicPr>
        <xdr:cNvPr id="192812"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4483100"/>
          <a:ext cx="3867150" cy="272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24</xdr:row>
      <xdr:rowOff>98425</xdr:rowOff>
    </xdr:from>
    <xdr:to>
      <xdr:col>11</xdr:col>
      <xdr:colOff>561975</xdr:colOff>
      <xdr:row>27</xdr:row>
      <xdr:rowOff>114342</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117475</xdr:rowOff>
    </xdr:from>
    <xdr:to>
      <xdr:col>12</xdr:col>
      <xdr:colOff>276225</xdr:colOff>
      <xdr:row>3</xdr:row>
      <xdr:rowOff>133392</xdr:rowOff>
    </xdr:to>
    <xdr:sp macro="" textlink="">
      <xdr:nvSpPr>
        <xdr:cNvPr id="123921" name="Text Box 17"/>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209550</xdr:colOff>
      <xdr:row>28</xdr:row>
      <xdr:rowOff>60325</xdr:rowOff>
    </xdr:from>
    <xdr:to>
      <xdr:col>6</xdr:col>
      <xdr:colOff>342900</xdr:colOff>
      <xdr:row>31</xdr:row>
      <xdr:rowOff>114339</xdr:rowOff>
    </xdr:to>
    <xdr:sp macro="" textlink="">
      <xdr:nvSpPr>
        <xdr:cNvPr id="124127" name="Text Box 18"/>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161925</xdr:colOff>
      <xdr:row>14</xdr:row>
      <xdr:rowOff>79375</xdr:rowOff>
    </xdr:from>
    <xdr:to>
      <xdr:col>5</xdr:col>
      <xdr:colOff>47625</xdr:colOff>
      <xdr:row>17</xdr:row>
      <xdr:rowOff>95292</xdr:rowOff>
    </xdr:to>
    <xdr:sp macro="" textlink="">
      <xdr:nvSpPr>
        <xdr:cNvPr id="123926" name="Text Box 22"/>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257175</xdr:colOff>
      <xdr:row>14</xdr:row>
      <xdr:rowOff>79375</xdr:rowOff>
    </xdr:from>
    <xdr:to>
      <xdr:col>9</xdr:col>
      <xdr:colOff>476250</xdr:colOff>
      <xdr:row>17</xdr:row>
      <xdr:rowOff>95292</xdr:rowOff>
    </xdr:to>
    <xdr:sp macro="" textlink="">
      <xdr:nvSpPr>
        <xdr:cNvPr id="123928" name="Text Box 24"/>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161925</xdr:colOff>
      <xdr:row>17</xdr:row>
      <xdr:rowOff>57150</xdr:rowOff>
    </xdr:from>
    <xdr:to>
      <xdr:col>5</xdr:col>
      <xdr:colOff>47625</xdr:colOff>
      <xdr:row>20</xdr:row>
      <xdr:rowOff>60366</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20</xdr:row>
      <xdr:rowOff>98425</xdr:rowOff>
    </xdr:from>
    <xdr:to>
      <xdr:col>5</xdr:col>
      <xdr:colOff>47625</xdr:colOff>
      <xdr:row>22</xdr:row>
      <xdr:rowOff>152456</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22294</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117475</xdr:rowOff>
    </xdr:from>
    <xdr:to>
      <xdr:col>5</xdr:col>
      <xdr:colOff>95250</xdr:colOff>
      <xdr:row>13</xdr:row>
      <xdr:rowOff>114366</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41344</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142875</xdr:colOff>
      <xdr:row>33</xdr:row>
      <xdr:rowOff>0</xdr:rowOff>
    </xdr:from>
    <xdr:to>
      <xdr:col>5</xdr:col>
      <xdr:colOff>381000</xdr:colOff>
      <xdr:row>34</xdr:row>
      <xdr:rowOff>152399</xdr:rowOff>
    </xdr:to>
    <xdr:sp macro="" textlink="">
      <xdr:nvSpPr>
        <xdr:cNvPr id="124137" name="Text Box 233"/>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590550</xdr:colOff>
      <xdr:row>39</xdr:row>
      <xdr:rowOff>95250</xdr:rowOff>
    </xdr:from>
    <xdr:to>
      <xdr:col>5</xdr:col>
      <xdr:colOff>571500</xdr:colOff>
      <xdr:row>41</xdr:row>
      <xdr:rowOff>136580</xdr:rowOff>
    </xdr:to>
    <xdr:sp macro="" textlink="">
      <xdr:nvSpPr>
        <xdr:cNvPr id="124138" name="Text Box 234"/>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xdr:twoCellAnchor>
    <xdr:from>
      <xdr:col>6</xdr:col>
      <xdr:colOff>381000</xdr:colOff>
      <xdr:row>28</xdr:row>
      <xdr:rowOff>25400</xdr:rowOff>
    </xdr:from>
    <xdr:to>
      <xdr:col>12</xdr:col>
      <xdr:colOff>260350</xdr:colOff>
      <xdr:row>45</xdr:row>
      <xdr:rowOff>82550</xdr:rowOff>
    </xdr:to>
    <xdr:pic>
      <xdr:nvPicPr>
        <xdr:cNvPr id="192827"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38600" y="4470400"/>
          <a:ext cx="3536950" cy="275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390525</xdr:colOff>
      <xdr:row>28</xdr:row>
      <xdr:rowOff>60325</xdr:rowOff>
    </xdr:from>
    <xdr:to>
      <xdr:col>12</xdr:col>
      <xdr:colOff>209550</xdr:colOff>
      <xdr:row>32</xdr:row>
      <xdr:rowOff>22225</xdr:rowOff>
    </xdr:to>
    <xdr:sp macro="" textlink="">
      <xdr:nvSpPr>
        <xdr:cNvPr id="39" name="Text Box 18"/>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 documents which </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495300</xdr:colOff>
      <xdr:row>32</xdr:row>
      <xdr:rowOff>133350</xdr:rowOff>
    </xdr:from>
    <xdr:to>
      <xdr:col>10</xdr:col>
      <xdr:colOff>390525</xdr:colOff>
      <xdr:row>35</xdr:row>
      <xdr:rowOff>19050</xdr:rowOff>
    </xdr:to>
    <xdr:sp macro="" textlink="">
      <xdr:nvSpPr>
        <xdr:cNvPr id="40" name="Text Box 233"/>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514351</xdr:colOff>
      <xdr:row>37</xdr:row>
      <xdr:rowOff>76200</xdr:rowOff>
    </xdr:from>
    <xdr:to>
      <xdr:col>9</xdr:col>
      <xdr:colOff>304801</xdr:colOff>
      <xdr:row>39</xdr:row>
      <xdr:rowOff>117530</xdr:rowOff>
    </xdr:to>
    <xdr:sp macro="" textlink="">
      <xdr:nvSpPr>
        <xdr:cNvPr id="41" name="Text Box 233"/>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a:p>
          <a:pPr algn="l" rtl="0">
            <a:defRPr sz="1000"/>
          </a:pPr>
          <a:r>
            <a:rPr lang="en-GB" sz="1300" b="1" i="0" u="sng" strike="noStrike" baseline="0">
              <a:solidFill>
                <a:srgbClr val="FFFFFF"/>
              </a:solidFill>
              <a:latin typeface="Calibri"/>
              <a:cs typeface="Calibri"/>
            </a:rPr>
            <a:t> </a:t>
          </a:r>
        </a:p>
      </xdr:txBody>
    </xdr:sp>
    <xdr:clientData/>
  </xdr:twoCellAnchor>
  <xdr:twoCellAnchor>
    <xdr:from>
      <xdr:col>6</xdr:col>
      <xdr:colOff>504825</xdr:colOff>
      <xdr:row>35</xdr:row>
      <xdr:rowOff>19050</xdr:rowOff>
    </xdr:from>
    <xdr:to>
      <xdr:col>10</xdr:col>
      <xdr:colOff>133350</xdr:colOff>
      <xdr:row>37</xdr:row>
      <xdr:rowOff>60380</xdr:rowOff>
    </xdr:to>
    <xdr:sp macro="" textlink="">
      <xdr:nvSpPr>
        <xdr:cNvPr id="42" name="Text Box 233"/>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514351</xdr:colOff>
      <xdr:row>39</xdr:row>
      <xdr:rowOff>136525</xdr:rowOff>
    </xdr:from>
    <xdr:to>
      <xdr:col>10</xdr:col>
      <xdr:colOff>95251</xdr:colOff>
      <xdr:row>41</xdr:row>
      <xdr:rowOff>136525</xdr:rowOff>
    </xdr:to>
    <xdr:sp macro="" textlink="">
      <xdr:nvSpPr>
        <xdr:cNvPr id="44" name="Text Box 233"/>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514350</xdr:colOff>
      <xdr:row>42</xdr:row>
      <xdr:rowOff>3175</xdr:rowOff>
    </xdr:from>
    <xdr:to>
      <xdr:col>9</xdr:col>
      <xdr:colOff>390525</xdr:colOff>
      <xdr:row>44</xdr:row>
      <xdr:rowOff>57206</xdr:rowOff>
    </xdr:to>
    <xdr:sp macro="" textlink="">
      <xdr:nvSpPr>
        <xdr:cNvPr id="37" name="Text Box 233"/>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552451</xdr:colOff>
      <xdr:row>32</xdr:row>
      <xdr:rowOff>136525</xdr:rowOff>
    </xdr:from>
    <xdr:to>
      <xdr:col>12</xdr:col>
      <xdr:colOff>133351</xdr:colOff>
      <xdr:row>35</xdr:row>
      <xdr:rowOff>22225</xdr:rowOff>
    </xdr:to>
    <xdr:sp macro="" textlink="">
      <xdr:nvSpPr>
        <xdr:cNvPr id="38" name="Text Box 233">
          <a:hlinkClick xmlns:r="http://schemas.openxmlformats.org/officeDocument/2006/relationships" r:id="rId3"/>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42</xdr:row>
      <xdr:rowOff>0</xdr:rowOff>
    </xdr:from>
    <xdr:to>
      <xdr:col>12</xdr:col>
      <xdr:colOff>152400</xdr:colOff>
      <xdr:row>44</xdr:row>
      <xdr:rowOff>41330</xdr:rowOff>
    </xdr:to>
    <xdr:sp macro="" textlink="">
      <xdr:nvSpPr>
        <xdr:cNvPr id="43" name="Text Box 233">
          <a:hlinkClick xmlns:r="http://schemas.openxmlformats.org/officeDocument/2006/relationships" r:id="rId4"/>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552450</xdr:colOff>
      <xdr:row>37</xdr:row>
      <xdr:rowOff>79375</xdr:rowOff>
    </xdr:from>
    <xdr:to>
      <xdr:col>12</xdr:col>
      <xdr:colOff>133350</xdr:colOff>
      <xdr:row>39</xdr:row>
      <xdr:rowOff>133406</xdr:rowOff>
    </xdr:to>
    <xdr:sp macro="" textlink="">
      <xdr:nvSpPr>
        <xdr:cNvPr id="46" name="Text Box 233">
          <a:hlinkClick xmlns:r="http://schemas.openxmlformats.org/officeDocument/2006/relationships" r:id="rId5"/>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542925</xdr:colOff>
      <xdr:row>35</xdr:row>
      <xdr:rowOff>76200</xdr:rowOff>
    </xdr:from>
    <xdr:to>
      <xdr:col>12</xdr:col>
      <xdr:colOff>123825</xdr:colOff>
      <xdr:row>37</xdr:row>
      <xdr:rowOff>117530</xdr:rowOff>
    </xdr:to>
    <xdr:sp macro="" textlink="">
      <xdr:nvSpPr>
        <xdr:cNvPr id="48" name="Text Box 233">
          <a:hlinkClick xmlns:r="http://schemas.openxmlformats.org/officeDocument/2006/relationships" r:id="rId6"/>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39</xdr:row>
      <xdr:rowOff>152400</xdr:rowOff>
    </xdr:from>
    <xdr:to>
      <xdr:col>12</xdr:col>
      <xdr:colOff>152400</xdr:colOff>
      <xdr:row>42</xdr:row>
      <xdr:rowOff>38100</xdr:rowOff>
    </xdr:to>
    <xdr:sp macro="" textlink="">
      <xdr:nvSpPr>
        <xdr:cNvPr id="49" name="Text Box 233">
          <a:hlinkClick xmlns:r="http://schemas.openxmlformats.org/officeDocument/2006/relationships" r:id="rId7"/>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25400</xdr:rowOff>
        </xdr:from>
        <xdr:to>
          <xdr:col>6</xdr:col>
          <xdr:colOff>488950</xdr:colOff>
          <xdr:row>19</xdr:row>
          <xdr:rowOff>120650</xdr:rowOff>
        </xdr:to>
        <xdr:sp macro="" textlink="">
          <xdr:nvSpPr>
            <xdr:cNvPr id="123931" name="Drop Down 27" hidden="1">
              <a:extLst>
                <a:ext uri="{63B3BB69-23CF-44E3-9099-C40C66FF867C}">
                  <a14:compatExt spid="_x0000_s1239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203200</xdr:colOff>
          <xdr:row>20</xdr:row>
          <xdr:rowOff>114300</xdr:rowOff>
        </xdr:from>
        <xdr:to>
          <xdr:col>7</xdr:col>
          <xdr:colOff>603250</xdr:colOff>
          <xdr:row>22</xdr:row>
          <xdr:rowOff>44450</xdr:rowOff>
        </xdr:to>
        <xdr:sp macro="" textlink="">
          <xdr:nvSpPr>
            <xdr:cNvPr id="123932" name="Drop Down 28" hidden="1">
              <a:extLst>
                <a:ext uri="{63B3BB69-23CF-44E3-9099-C40C66FF867C}">
                  <a14:compatExt spid="_x0000_s1239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203200</xdr:colOff>
          <xdr:row>15</xdr:row>
          <xdr:rowOff>57150</xdr:rowOff>
        </xdr:from>
        <xdr:to>
          <xdr:col>7</xdr:col>
          <xdr:colOff>247650</xdr:colOff>
          <xdr:row>16</xdr:row>
          <xdr:rowOff>152400</xdr:rowOff>
        </xdr:to>
        <xdr:sp macro="" textlink="">
          <xdr:nvSpPr>
            <xdr:cNvPr id="123936" name="Drop Down 32" hidden="1">
              <a:extLst>
                <a:ext uri="{63B3BB69-23CF-44E3-9099-C40C66FF867C}">
                  <a14:compatExt spid="_x0000_s1239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44450</xdr:rowOff>
        </xdr:from>
        <xdr:to>
          <xdr:col>11</xdr:col>
          <xdr:colOff>247650</xdr:colOff>
          <xdr:row>8</xdr:row>
          <xdr:rowOff>139700</xdr:rowOff>
        </xdr:to>
        <xdr:sp macro="" textlink="">
          <xdr:nvSpPr>
            <xdr:cNvPr id="123946" name="TextBox3" hidden="1">
              <a:extLst>
                <a:ext uri="{63B3BB69-23CF-44E3-9099-C40C66FF867C}">
                  <a14:compatExt spid="_x0000_s1239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203200</xdr:colOff>
          <xdr:row>9</xdr:row>
          <xdr:rowOff>120650</xdr:rowOff>
        </xdr:from>
        <xdr:to>
          <xdr:col>7</xdr:col>
          <xdr:colOff>533400</xdr:colOff>
          <xdr:row>11</xdr:row>
          <xdr:rowOff>57150</xdr:rowOff>
        </xdr:to>
        <xdr:sp macro="" textlink="">
          <xdr:nvSpPr>
            <xdr:cNvPr id="123947" name="TextBox4" hidden="1">
              <a:extLst>
                <a:ext uri="{63B3BB69-23CF-44E3-9099-C40C66FF867C}">
                  <a14:compatExt spid="_x0000_s1239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25400</xdr:rowOff>
        </xdr:from>
        <xdr:to>
          <xdr:col>11</xdr:col>
          <xdr:colOff>247650</xdr:colOff>
          <xdr:row>13</xdr:row>
          <xdr:rowOff>120650</xdr:rowOff>
        </xdr:to>
        <xdr:sp macro="" textlink="">
          <xdr:nvSpPr>
            <xdr:cNvPr id="123948" name="TextBox5" hidden="1">
              <a:extLst>
                <a:ext uri="{63B3BB69-23CF-44E3-9099-C40C66FF867C}">
                  <a14:compatExt spid="_x0000_s1239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139700</xdr:rowOff>
        </xdr:from>
        <xdr:to>
          <xdr:col>11</xdr:col>
          <xdr:colOff>247650</xdr:colOff>
          <xdr:row>11</xdr:row>
          <xdr:rowOff>76200</xdr:rowOff>
        </xdr:to>
        <xdr:sp macro="" textlink="">
          <xdr:nvSpPr>
            <xdr:cNvPr id="123950" name="TextBox6" hidden="1">
              <a:extLst>
                <a:ext uri="{63B3BB69-23CF-44E3-9099-C40C66FF867C}">
                  <a14:compatExt spid="_x0000_s1239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37</xdr:row>
          <xdr:rowOff>63500</xdr:rowOff>
        </xdr:from>
        <xdr:to>
          <xdr:col>5</xdr:col>
          <xdr:colOff>228600</xdr:colOff>
          <xdr:row>39</xdr:row>
          <xdr:rowOff>57150</xdr:rowOff>
        </xdr:to>
        <xdr:sp macro="" textlink="">
          <xdr:nvSpPr>
            <xdr:cNvPr id="124039" name="ToggleReferenceColumns" hidden="1">
              <a:extLst>
                <a:ext uri="{63B3BB69-23CF-44E3-9099-C40C66FF867C}">
                  <a14:compatExt spid="_x0000_s124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260350</xdr:colOff>
          <xdr:row>35</xdr:row>
          <xdr:rowOff>19050</xdr:rowOff>
        </xdr:from>
        <xdr:to>
          <xdr:col>5</xdr:col>
          <xdr:colOff>241300</xdr:colOff>
          <xdr:row>37</xdr:row>
          <xdr:rowOff>19050</xdr:rowOff>
        </xdr:to>
        <xdr:sp macro="" textlink="">
          <xdr:nvSpPr>
            <xdr:cNvPr id="124040" name="TogglePreAuditColums" hidden="1">
              <a:extLst>
                <a:ext uri="{63B3BB69-23CF-44E3-9099-C40C66FF867C}">
                  <a14:compatExt spid="_x0000_s124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42</xdr:row>
          <xdr:rowOff>6350</xdr:rowOff>
        </xdr:from>
        <xdr:to>
          <xdr:col>5</xdr:col>
          <xdr:colOff>209550</xdr:colOff>
          <xdr:row>44</xdr:row>
          <xdr:rowOff>25400</xdr:rowOff>
        </xdr:to>
        <xdr:sp macro="" textlink="">
          <xdr:nvSpPr>
            <xdr:cNvPr id="124042" name="ToggleHiddenColumns" hidden="1">
              <a:extLst>
                <a:ext uri="{63B3BB69-23CF-44E3-9099-C40C66FF867C}">
                  <a14:compatExt spid="_x0000_s124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203200</xdr:colOff>
          <xdr:row>4</xdr:row>
          <xdr:rowOff>76200</xdr:rowOff>
        </xdr:from>
        <xdr:to>
          <xdr:col>11</xdr:col>
          <xdr:colOff>247650</xdr:colOff>
          <xdr:row>6</xdr:row>
          <xdr:rowOff>0</xdr:rowOff>
        </xdr:to>
        <xdr:sp macro="" textlink="">
          <xdr:nvSpPr>
            <xdr:cNvPr id="124151" name="Drop Down 247" hidden="1">
              <a:extLst>
                <a:ext uri="{63B3BB69-23CF-44E3-9099-C40C66FF867C}">
                  <a14:compatExt spid="_x0000_s124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584200</xdr:colOff>
          <xdr:row>15</xdr:row>
          <xdr:rowOff>25400</xdr:rowOff>
        </xdr:from>
        <xdr:to>
          <xdr:col>11</xdr:col>
          <xdr:colOff>469900</xdr:colOff>
          <xdr:row>17</xdr:row>
          <xdr:rowOff>25400</xdr:rowOff>
        </xdr:to>
        <xdr:pic>
          <xdr:nvPicPr>
            <xdr:cNvPr id="182950" name="TextBox2"/>
            <xdr:cNvPicPr preferRelativeResize="0">
              <a:picLocks noChangeArrowheads="1" noChangeShapeType="1"/>
              <a:extLst>
                <a:ext uri="{84589F7E-364E-4C9E-8A38-B11213B215E9}">
                  <a14:cameraTool cellRange="FinYear" spid="_x0000_s192839"/>
                </a:ext>
              </a:extLst>
            </xdr:cNvPicPr>
          </xdr:nvPicPr>
          <xdr:blipFill>
            <a:blip xmlns:r="http://schemas.openxmlformats.org/officeDocument/2006/relationships" r:embed="rId8">
              <a:grayscl/>
              <a:biLevel thresh="50000"/>
            </a:blip>
            <a:srcRect/>
            <a:stretch>
              <a:fillRect/>
            </a:stretch>
          </xdr:blipFill>
          <xdr:spPr bwMode="auto">
            <a:xfrm>
              <a:off x="6070600" y="2406650"/>
              <a:ext cx="1104900" cy="3175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298450</xdr:colOff>
          <xdr:row>2</xdr:row>
          <xdr:rowOff>6350</xdr:rowOff>
        </xdr:from>
        <xdr:to>
          <xdr:col>4</xdr:col>
          <xdr:colOff>2089150</xdr:colOff>
          <xdr:row>4</xdr:row>
          <xdr:rowOff>6350</xdr:rowOff>
        </xdr:to>
        <xdr:sp macro="" textlink="">
          <xdr:nvSpPr>
            <xdr:cNvPr id="75786" name="Button 10" hidden="1">
              <a:extLst>
                <a:ext uri="{63B3BB69-23CF-44E3-9099-C40C66FF867C}">
                  <a14:compatExt spid="_x0000_s7578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523875</xdr:colOff>
      <xdr:row>0</xdr:row>
      <xdr:rowOff>19050</xdr:rowOff>
    </xdr:from>
    <xdr:to>
      <xdr:col>2</xdr:col>
      <xdr:colOff>3340082</xdr:colOff>
      <xdr:row>0</xdr:row>
      <xdr:rowOff>438150</xdr:rowOff>
    </xdr:to>
    <xdr:sp macro="" textlink="">
      <xdr:nvSpPr>
        <xdr:cNvPr id="10" name="Text Box 18"/>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3175</xdr:rowOff>
    </xdr:from>
    <xdr:to>
      <xdr:col>1</xdr:col>
      <xdr:colOff>0</xdr:colOff>
      <xdr:row>0</xdr:row>
      <xdr:rowOff>438197</xdr:rowOff>
    </xdr:to>
    <xdr:sp macro="" textlink="">
      <xdr:nvSpPr>
        <xdr:cNvPr id="8"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527050</xdr:colOff>
      <xdr:row>0</xdr:row>
      <xdr:rowOff>425450</xdr:rowOff>
    </xdr:to>
    <xdr:sp macro="" textlink="">
      <xdr:nvSpPr>
        <xdr:cNvPr id="186464" name="Text Box 18"/>
        <xdr:cNvSpPr txBox="1">
          <a:spLocks noChangeArrowheads="1"/>
        </xdr:cNvSpPr>
      </xdr:nvSpPr>
      <xdr:spPr bwMode="auto">
        <a:xfrm>
          <a:off x="2622550" y="0"/>
          <a:ext cx="527050" cy="4254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1266825</xdr:colOff>
      <xdr:row>0</xdr:row>
      <xdr:rowOff>0</xdr:rowOff>
    </xdr:from>
    <xdr:to>
      <xdr:col>1</xdr:col>
      <xdr:colOff>209391</xdr:colOff>
      <xdr:row>0</xdr:row>
      <xdr:rowOff>0</xdr:rowOff>
    </xdr:to>
    <xdr:sp macro="" textlink="">
      <xdr:nvSpPr>
        <xdr:cNvPr id="55297" name="AutoShape 1"/>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1295400</xdr:colOff>
      <xdr:row>0</xdr:row>
      <xdr:rowOff>0</xdr:rowOff>
    </xdr:from>
    <xdr:to>
      <xdr:col>2</xdr:col>
      <xdr:colOff>19050</xdr:colOff>
      <xdr:row>0</xdr:row>
      <xdr:rowOff>0</xdr:rowOff>
    </xdr:to>
    <xdr:sp macro="" textlink="">
      <xdr:nvSpPr>
        <xdr:cNvPr id="55312" name="AutoShape 16"/>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BanelisiweM/Local%20Settings/Temporary%20Internet%20Files/Content.Outlook/941WG2UY/B%20Schedule%20-%20Ver%202%204%20-%20January%202012%20(5).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BanelisiweM/Local%20Settings/Temporary%20Internet%20Files/Content.Outlook/941WG2UY/B%20Schedule%20-%20Ver%202%204%20-%20January%202012%20(6).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s%20and%20Settings/siyabongaV/Local%20Settings/Temporary%20Internet%20Files/Content.Outlook/G4B73TI1/KZN225%20-%20A1%20Schedule%20-%20Ver%202%205%20-%202013%202014%20-%20FINAL%20-%20after%20Leslies's%20change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B1-Sum"/>
      <sheetName val="B2-FinPerf SC"/>
      <sheetName val="B2B"/>
      <sheetName val="B3-FinPerf V"/>
      <sheetName val="B3B"/>
      <sheetName val="B4-FinPerf RE"/>
      <sheetName val="B5-Capex"/>
      <sheetName val="B5B"/>
      <sheetName val="B6-FinPos"/>
      <sheetName val="B7-CFlow"/>
      <sheetName val="B8-ResRecon"/>
      <sheetName val="B9-Asset"/>
      <sheetName val="B10-SerDel"/>
      <sheetName val="SB1"/>
      <sheetName val="SB2"/>
      <sheetName val="SB3"/>
      <sheetName val="SB4"/>
      <sheetName val="SB5"/>
      <sheetName val="SB6"/>
      <sheetName val="SB7"/>
      <sheetName val="SB8"/>
      <sheetName val="SB9"/>
      <sheetName val="SB10"/>
      <sheetName val="SB11"/>
      <sheetName val="SB12"/>
      <sheetName val="SB13"/>
      <sheetName val="SB14"/>
      <sheetName val="SB15"/>
      <sheetName val="SB16"/>
      <sheetName val="SB17"/>
      <sheetName val="SB18a"/>
      <sheetName val="SB18b"/>
      <sheetName val="SB18c"/>
      <sheetName val="SB18d"/>
      <sheetName val="SB19"/>
      <sheetName val="SB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0">
          <cell r="I10">
            <v>952903</v>
          </cell>
        </row>
        <row r="13">
          <cell r="I13">
            <v>302378</v>
          </cell>
        </row>
        <row r="14">
          <cell r="I14">
            <v>-3365</v>
          </cell>
        </row>
        <row r="15">
          <cell r="I15">
            <v>1861000</v>
          </cell>
        </row>
        <row r="16">
          <cell r="I16">
            <v>133799</v>
          </cell>
        </row>
        <row r="22">
          <cell r="I22">
            <v>627063</v>
          </cell>
        </row>
        <row r="27">
          <cell r="I27">
            <v>-282587</v>
          </cell>
        </row>
        <row r="29">
          <cell r="I29">
            <v>382112</v>
          </cell>
        </row>
        <row r="30">
          <cell r="I30">
            <v>149176</v>
          </cell>
        </row>
        <row r="33">
          <cell r="I33">
            <v>3510</v>
          </cell>
        </row>
        <row r="34">
          <cell r="I34">
            <v>-10541442</v>
          </cell>
        </row>
        <row r="36">
          <cell r="I36">
            <v>2531525</v>
          </cell>
        </row>
        <row r="38">
          <cell r="I38">
            <v>-57493</v>
          </cell>
        </row>
        <row r="43">
          <cell r="I43">
            <v>-115471</v>
          </cell>
        </row>
        <row r="46">
          <cell r="I46">
            <v>53501532</v>
          </cell>
        </row>
        <row r="47">
          <cell r="I47">
            <v>69804</v>
          </cell>
        </row>
        <row r="49">
          <cell r="I49">
            <v>37065</v>
          </cell>
        </row>
        <row r="56">
          <cell r="I56">
            <v>-111760471</v>
          </cell>
        </row>
        <row r="68">
          <cell r="I68">
            <v>-654832</v>
          </cell>
        </row>
        <row r="72">
          <cell r="I72">
            <v>1807148</v>
          </cell>
        </row>
      </sheetData>
      <sheetData sheetId="9" refreshError="1"/>
      <sheetData sheetId="10">
        <row r="8">
          <cell r="I8">
            <v>555000</v>
          </cell>
        </row>
        <row r="10">
          <cell r="I10">
            <v>301005</v>
          </cell>
        </row>
        <row r="11">
          <cell r="I11">
            <v>534646</v>
          </cell>
        </row>
        <row r="12">
          <cell r="I12">
            <v>19636638</v>
          </cell>
        </row>
        <row r="14">
          <cell r="I14">
            <v>-30975</v>
          </cell>
        </row>
        <row r="20">
          <cell r="I20">
            <v>-1441</v>
          </cell>
        </row>
        <row r="21">
          <cell r="I21">
            <v>-805300</v>
          </cell>
        </row>
        <row r="23">
          <cell r="I23">
            <v>312</v>
          </cell>
        </row>
        <row r="30">
          <cell r="I30">
            <v>-111760471</v>
          </cell>
        </row>
        <row r="31">
          <cell r="I31">
            <v>-10531511</v>
          </cell>
        </row>
        <row r="32">
          <cell r="I32">
            <v>189330</v>
          </cell>
        </row>
        <row r="42">
          <cell r="I42">
            <v>428229</v>
          </cell>
        </row>
        <row r="43">
          <cell r="I43">
            <v>23762154</v>
          </cell>
        </row>
        <row r="178">
          <cell r="I178">
            <v>5176210</v>
          </cell>
        </row>
        <row r="179">
          <cell r="I179">
            <v>-14297283</v>
          </cell>
        </row>
        <row r="180">
          <cell r="I180">
            <v>22428440</v>
          </cell>
        </row>
        <row r="181">
          <cell r="I181">
            <v>760548</v>
          </cell>
        </row>
        <row r="182">
          <cell r="I182">
            <v>-2050418</v>
          </cell>
        </row>
        <row r="187">
          <cell r="I187">
            <v>-8375996</v>
          </cell>
        </row>
        <row r="188">
          <cell r="I188">
            <v>2186300</v>
          </cell>
        </row>
        <row r="189">
          <cell r="I189">
            <v>2154244</v>
          </cell>
        </row>
        <row r="191">
          <cell r="I191">
            <v>2640044</v>
          </cell>
        </row>
        <row r="199">
          <cell r="I199">
            <v>-6929264</v>
          </cell>
        </row>
        <row r="200">
          <cell r="I200">
            <v>3742986</v>
          </cell>
        </row>
        <row r="209">
          <cell r="I209">
            <v>-18310495</v>
          </cell>
        </row>
        <row r="210">
          <cell r="I210">
            <v>23231515</v>
          </cell>
        </row>
        <row r="211">
          <cell r="I211">
            <v>4851038</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B1-Sum"/>
      <sheetName val="B2-FinPerf SC"/>
      <sheetName val="B2B"/>
      <sheetName val="B3-FinPerf V"/>
      <sheetName val="B3B"/>
      <sheetName val="B4-FinPerf RE"/>
      <sheetName val="B5-Capex"/>
      <sheetName val="B5B"/>
      <sheetName val="B6-FinPos"/>
      <sheetName val="B7-CFlow"/>
      <sheetName val="B8-ResRecon"/>
      <sheetName val="B9-Asset"/>
      <sheetName val="B10-SerDel"/>
      <sheetName val="SB1"/>
      <sheetName val="SB2"/>
      <sheetName val="SB3"/>
      <sheetName val="SB4"/>
      <sheetName val="SB5"/>
      <sheetName val="SB6"/>
      <sheetName val="SB7"/>
      <sheetName val="SB8"/>
      <sheetName val="SB9"/>
      <sheetName val="SB10"/>
      <sheetName val="SB11"/>
      <sheetName val="SB12"/>
      <sheetName val="SB13"/>
      <sheetName val="SB14"/>
      <sheetName val="SB15"/>
      <sheetName val="SB16"/>
      <sheetName val="SB17"/>
      <sheetName val="SB18a"/>
      <sheetName val="SB18b"/>
      <sheetName val="SB18c"/>
      <sheetName val="SB18d"/>
      <sheetName val="SB19"/>
      <sheetName val="SB20"/>
    </sheetNames>
    <sheetDataSet>
      <sheetData sheetId="0"/>
      <sheetData sheetId="1"/>
      <sheetData sheetId="2"/>
      <sheetData sheetId="3"/>
      <sheetData sheetId="4"/>
      <sheetData sheetId="5"/>
      <sheetData sheetId="6"/>
      <sheetData sheetId="7"/>
      <sheetData sheetId="8">
        <row r="11">
          <cell r="I11">
            <v>210838618</v>
          </cell>
        </row>
        <row r="19">
          <cell r="I19">
            <v>21315891</v>
          </cell>
        </row>
        <row r="41">
          <cell r="I41">
            <v>13425065</v>
          </cell>
        </row>
        <row r="59">
          <cell r="I59">
            <v>54113152</v>
          </cell>
        </row>
        <row r="62">
          <cell r="I62">
            <v>-36035071</v>
          </cell>
        </row>
        <row r="66">
          <cell r="I66">
            <v>-52910980</v>
          </cell>
        </row>
        <row r="80">
          <cell r="I80">
            <v>-77660236</v>
          </cell>
        </row>
        <row r="125">
          <cell r="I125">
            <v>-382262</v>
          </cell>
        </row>
        <row r="128">
          <cell r="I128">
            <v>38545915</v>
          </cell>
        </row>
        <row r="131">
          <cell r="I131">
            <v>16236585</v>
          </cell>
        </row>
        <row r="133">
          <cell r="I133">
            <v>1765516</v>
          </cell>
        </row>
        <row r="135">
          <cell r="I135">
            <v>8357098</v>
          </cell>
        </row>
        <row r="137">
          <cell r="I137">
            <v>1977839</v>
          </cell>
        </row>
      </sheetData>
      <sheetData sheetId="9"/>
      <sheetData sheetId="10">
        <row r="22">
          <cell r="I22">
            <v>211645267</v>
          </cell>
        </row>
        <row r="33">
          <cell r="I33">
            <v>51923434</v>
          </cell>
        </row>
        <row r="34">
          <cell r="I34">
            <v>-52912096</v>
          </cell>
        </row>
        <row r="35">
          <cell r="I35">
            <v>25736146</v>
          </cell>
        </row>
        <row r="41">
          <cell r="I41">
            <v>-8978677</v>
          </cell>
        </row>
        <row r="190">
          <cell r="I190">
            <v>-77813062</v>
          </cell>
        </row>
        <row r="198">
          <cell r="I198">
            <v>-467052</v>
          </cell>
        </row>
        <row r="201">
          <cell r="I201">
            <v>128908393</v>
          </cell>
        </row>
        <row r="202">
          <cell r="I202">
            <v>16221579</v>
          </cell>
        </row>
        <row r="203">
          <cell r="I203">
            <v>48613960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36">
          <cell r="A36" t="str">
            <v xml:space="preserve"> Public Transport and Systems</v>
          </cell>
        </row>
        <row r="37">
          <cell r="A37" t="str">
            <v>Neighbourhood Development Partnership</v>
          </cell>
        </row>
        <row r="38">
          <cell r="A38" t="str">
            <v xml:space="preserve">Rural Households Infrastructure </v>
          </cell>
        </row>
        <row r="39">
          <cell r="A39" t="str">
            <v>Dept of Mineral/Electricty</v>
          </cell>
        </row>
        <row r="40">
          <cell r="A40" t="str">
            <v>Intergrated National Electrification Porgramme</v>
          </cell>
        </row>
        <row r="41">
          <cell r="A41" t="str">
            <v>Other capital transfers/grants [insert description]</v>
          </cell>
        </row>
        <row r="42">
          <cell r="A42" t="str">
            <v>Provincial Government:</v>
          </cell>
        </row>
        <row r="43">
          <cell r="A43" t="str">
            <v>Airport Development Project</v>
          </cell>
        </row>
        <row r="44">
          <cell r="A44" t="str">
            <v>Sport and Recreation</v>
          </cell>
        </row>
        <row r="45">
          <cell r="A45" t="str">
            <v>Corridor Development</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8" Type="http://schemas.openxmlformats.org/officeDocument/2006/relationships/hyperlink" Target="http://www.msunduzi.go.za/" TargetMode="External"/><Relationship Id="rId13" Type="http://schemas.openxmlformats.org/officeDocument/2006/relationships/hyperlink" Target="mailto:nelisiwe.Ngcobo@msunduzi.gov.za" TargetMode="External"/><Relationship Id="rId3" Type="http://schemas.openxmlformats.org/officeDocument/2006/relationships/hyperlink" Target="mailto:nonhlanhla.mkhize@msunduzi.gov.za" TargetMode="External"/><Relationship Id="rId7" Type="http://schemas.openxmlformats.org/officeDocument/2006/relationships/hyperlink" Target="mailto:ashreena.jethoo@msunduzi.gov.za" TargetMode="External"/><Relationship Id="rId12" Type="http://schemas.openxmlformats.org/officeDocument/2006/relationships/hyperlink" Target="mailto:rodelle.frank@msunduzi.gov.za" TargetMode="External"/><Relationship Id="rId2" Type="http://schemas.openxmlformats.org/officeDocument/2006/relationships/hyperlink" Target="mailto:babu.baijoo@msunduzi.gov.za" TargetMode="External"/><Relationship Id="rId1" Type="http://schemas.openxmlformats.org/officeDocument/2006/relationships/hyperlink" Target="mailto:sifiso.khoza@msunduzi.gov.za" TargetMode="External"/><Relationship Id="rId6" Type="http://schemas.openxmlformats.org/officeDocument/2006/relationships/hyperlink" Target="mailto:ashreena.jethoo@msunduzi.gov.za" TargetMode="External"/><Relationship Id="rId11" Type="http://schemas.openxmlformats.org/officeDocument/2006/relationships/hyperlink" Target="mailto:mxolisi.nkosi@msunduzi.gov.za" TargetMode="External"/><Relationship Id="rId5" Type="http://schemas.openxmlformats.org/officeDocument/2006/relationships/hyperlink" Target="mailto:sandile.ngcobo@msunduzi.gov.za" TargetMode="External"/><Relationship Id="rId10" Type="http://schemas.openxmlformats.org/officeDocument/2006/relationships/hyperlink" Target="mailto:sixtus.gwala@msunduzi.gov.za" TargetMode="External"/><Relationship Id="rId4" Type="http://schemas.openxmlformats.org/officeDocument/2006/relationships/hyperlink" Target="mailto:sandile.ngcobo@msunduzi.gov.za" TargetMode="External"/><Relationship Id="rId9" Type="http://schemas.openxmlformats.org/officeDocument/2006/relationships/hyperlink" Target="mailto:shomala.dhanilal@msunduzi.gov.za" TargetMode="External"/><Relationship Id="rId14"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enableFormatConditionsCalculation="0">
    <tabColor indexed="46"/>
  </sheetPr>
  <dimension ref="A1"/>
  <sheetViews>
    <sheetView showGridLines="0" tabSelected="1" zoomScaleNormal="100" workbookViewId="0"/>
  </sheetViews>
  <sheetFormatPr defaultColWidth="8" defaultRowHeight="13" x14ac:dyDescent="0.3"/>
  <cols>
    <col min="1" max="16384" width="8" style="1387"/>
  </cols>
  <sheetData>
    <row r="1" spans="1:1" x14ac:dyDescent="0.3">
      <c r="A1" s="2161"/>
    </row>
  </sheetData>
  <sheetProtection sheet="1" objects="1" scenarios="1"/>
  <phoneticPr fontId="25" type="noConversion"/>
  <pageMargins left="0.75" right="0.75" top="1" bottom="1" header="0.5" footer="0.5"/>
  <pageSetup orientation="portrait" horizontalDpi="4294967293" verticalDpi="2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4"/>
    <pageSetUpPr fitToPage="1"/>
  </sheetPr>
  <dimension ref="A1:X77"/>
  <sheetViews>
    <sheetView showGridLines="0" view="pageBreakPreview" topLeftCell="A19" zoomScaleNormal="100" zoomScaleSheetLayoutView="100" workbookViewId="0">
      <selection activeCell="K39" sqref="K39"/>
    </sheetView>
  </sheetViews>
  <sheetFormatPr defaultColWidth="9.1796875" defaultRowHeight="10.5" x14ac:dyDescent="0.25"/>
  <cols>
    <col min="1" max="1" width="30.7265625" style="149" customWidth="1"/>
    <col min="2" max="2" width="3" style="1048" customWidth="1"/>
    <col min="3" max="11" width="9.26953125" style="149" customWidth="1"/>
    <col min="12" max="23" width="9.1796875" style="149" hidden="1" customWidth="1"/>
    <col min="24" max="16384" width="9.1796875" style="149"/>
  </cols>
  <sheetData>
    <row r="1" spans="1:24" s="179" customFormat="1" ht="13" x14ac:dyDescent="0.3">
      <c r="A1" s="1121" t="str">
        <f>muni&amp;" - "&amp;Approve2</f>
        <v>KZN225 Msunduzi - Table A3 Consolidated Budgeted Financial Performance (revenue and expenditure by municipal vote)</v>
      </c>
      <c r="B1" s="1121"/>
      <c r="C1" s="1121"/>
      <c r="D1" s="1121"/>
      <c r="E1" s="1121"/>
      <c r="F1" s="1121"/>
      <c r="G1" s="1121"/>
      <c r="H1" s="1121"/>
      <c r="I1" s="1121"/>
      <c r="J1" s="1121"/>
      <c r="K1" s="1121"/>
    </row>
    <row r="2" spans="1:24" ht="28.5" customHeight="1" x14ac:dyDescent="0.25">
      <c r="A2" s="1198" t="str">
        <f>Vdesc</f>
        <v>Vote Description</v>
      </c>
      <c r="B2" s="1199" t="str">
        <f>head27</f>
        <v>Ref</v>
      </c>
      <c r="C2" s="1123" t="str">
        <f>head1b</f>
        <v>2009/10</v>
      </c>
      <c r="D2" s="1123" t="str">
        <f>head1A</f>
        <v>2010/11</v>
      </c>
      <c r="E2" s="1124" t="str">
        <f>Head1</f>
        <v>2011/12</v>
      </c>
      <c r="F2" s="2683" t="str">
        <f>Head2</f>
        <v>Current Year 2012/13</v>
      </c>
      <c r="G2" s="2684"/>
      <c r="H2" s="2684"/>
      <c r="I2" s="2685" t="str">
        <f>Head3</f>
        <v>2013/14 Medium Term Revenue &amp; Expenditure Framework</v>
      </c>
      <c r="J2" s="2686"/>
      <c r="K2" s="2687"/>
      <c r="L2" s="2688" t="str">
        <f>Head4</f>
        <v>LTFS</v>
      </c>
      <c r="M2" s="2689"/>
      <c r="N2" s="2689"/>
      <c r="O2" s="2689"/>
      <c r="P2" s="2689"/>
      <c r="Q2" s="2689"/>
      <c r="R2" s="2689"/>
      <c r="S2" s="2689"/>
      <c r="T2" s="2689"/>
      <c r="U2" s="2689"/>
      <c r="V2" s="2689"/>
      <c r="W2" s="2690"/>
    </row>
    <row r="3" spans="1:24" ht="21" x14ac:dyDescent="0.25">
      <c r="A3" s="1200" t="s">
        <v>665</v>
      </c>
      <c r="B3" s="1201"/>
      <c r="C3" s="1125" t="str">
        <f>Head5</f>
        <v>Audited Outcome</v>
      </c>
      <c r="D3" s="1125" t="str">
        <f>Head5</f>
        <v>Audited Outcome</v>
      </c>
      <c r="E3" s="1126" t="str">
        <f>Head5</f>
        <v>Audited Outcome</v>
      </c>
      <c r="F3" s="1127" t="str">
        <f>Head6</f>
        <v>Original Budget</v>
      </c>
      <c r="G3" s="1125" t="str">
        <f>Head7</f>
        <v>Adjusted Budget</v>
      </c>
      <c r="H3" s="1126" t="str">
        <f>Head8</f>
        <v>Full Year Forecast</v>
      </c>
      <c r="I3" s="1127" t="str">
        <f>Head9</f>
        <v>Budget Year 2013/14</v>
      </c>
      <c r="J3" s="1125" t="str">
        <f>Head10</f>
        <v>Budget Year +1 2014/15</v>
      </c>
      <c r="K3" s="1126" t="str">
        <f>Head11</f>
        <v>Budget Year +2 2015/16</v>
      </c>
      <c r="L3" s="1548" t="str">
        <f>Head12</f>
        <v>Forecast 2016/17</v>
      </c>
      <c r="M3" s="1549" t="str">
        <f>Head13</f>
        <v>Forecast 2017/18</v>
      </c>
      <c r="N3" s="1549" t="str">
        <f>Head14</f>
        <v>Forecast 2018/19</v>
      </c>
      <c r="O3" s="1549" t="str">
        <f>Head15</f>
        <v>Forecast 2019/20</v>
      </c>
      <c r="P3" s="1549" t="str">
        <f>Head16</f>
        <v>Forecast 2020/21</v>
      </c>
      <c r="Q3" s="1549" t="str">
        <f>Head17</f>
        <v>Forecast 2021/22</v>
      </c>
      <c r="R3" s="1549" t="str">
        <f>Head18</f>
        <v>Forecast 2022/23</v>
      </c>
      <c r="S3" s="1549" t="str">
        <f>Head19</f>
        <v>Forecast 2023/24</v>
      </c>
      <c r="T3" s="1549" t="str">
        <f>Head20</f>
        <v>Forecast 2024/25</v>
      </c>
      <c r="U3" s="1549" t="str">
        <f>Head21</f>
        <v>Forecast 2025/26</v>
      </c>
      <c r="V3" s="1549" t="str">
        <f>Head22</f>
        <v>Forecast 2026/27</v>
      </c>
      <c r="W3" s="1549" t="str">
        <f>Head23</f>
        <v>Forecast 2027/28</v>
      </c>
    </row>
    <row r="4" spans="1:24" ht="11.25" customHeight="1" x14ac:dyDescent="0.25">
      <c r="A4" s="1202" t="s">
        <v>1367</v>
      </c>
      <c r="B4" s="1187">
        <v>1</v>
      </c>
      <c r="C4" s="1203"/>
      <c r="D4" s="1203"/>
      <c r="E4" s="1204"/>
      <c r="F4" s="1205"/>
      <c r="G4" s="1203"/>
      <c r="H4" s="1206"/>
      <c r="I4" s="1207"/>
      <c r="J4" s="1203"/>
      <c r="K4" s="2156"/>
      <c r="L4" s="188"/>
      <c r="M4" s="189"/>
      <c r="N4" s="189"/>
      <c r="O4" s="189"/>
      <c r="P4" s="189"/>
      <c r="Q4" s="189"/>
      <c r="R4" s="189"/>
      <c r="S4" s="189"/>
      <c r="T4" s="189"/>
      <c r="U4" s="189"/>
      <c r="V4" s="189"/>
      <c r="W4" s="189"/>
    </row>
    <row r="5" spans="1:24" ht="11.25" customHeight="1" x14ac:dyDescent="0.25">
      <c r="A5" s="1208" t="str">
        <f>A3A!A5</f>
        <v xml:space="preserve">Vote 1 - Corporate Services </v>
      </c>
      <c r="B5" s="1187"/>
      <c r="C5" s="1209">
        <f>A3A!C5</f>
        <v>15487148</v>
      </c>
      <c r="D5" s="1209">
        <f>A3A!D5</f>
        <v>8268080</v>
      </c>
      <c r="E5" s="1210">
        <f>A3A!E5</f>
        <v>20175447</v>
      </c>
      <c r="F5" s="1211">
        <f>A3A!F5</f>
        <v>2920226</v>
      </c>
      <c r="G5" s="1209">
        <f>A3A!G5</f>
        <v>24846916</v>
      </c>
      <c r="H5" s="1212">
        <f>A3A!H5</f>
        <v>24846916</v>
      </c>
      <c r="I5" s="1213">
        <f>A3A!I5</f>
        <v>24112273.33272526</v>
      </c>
      <c r="J5" s="1209">
        <f>A3A!J5</f>
        <v>24459221.921070322</v>
      </c>
      <c r="K5" s="2151">
        <f>A3A!K5</f>
        <v>23050170.512609292</v>
      </c>
      <c r="L5" s="188"/>
      <c r="M5" s="189"/>
      <c r="N5" s="189"/>
      <c r="O5" s="189"/>
      <c r="P5" s="189"/>
      <c r="Q5" s="189"/>
      <c r="R5" s="189"/>
      <c r="S5" s="189"/>
      <c r="T5" s="189"/>
      <c r="U5" s="189"/>
      <c r="V5" s="189"/>
      <c r="W5" s="189"/>
    </row>
    <row r="6" spans="1:24" ht="11.25" customHeight="1" x14ac:dyDescent="0.25">
      <c r="A6" s="1208" t="str">
        <f>A3A!A16</f>
        <v>Vote 2 - Financial Management Area</v>
      </c>
      <c r="B6" s="1187"/>
      <c r="C6" s="1209">
        <f>A3A!C16</f>
        <v>961194955</v>
      </c>
      <c r="D6" s="1209">
        <f>A3A!D16</f>
        <v>1006712046</v>
      </c>
      <c r="E6" s="1210">
        <f>A3A!E16</f>
        <v>1112256762</v>
      </c>
      <c r="F6" s="1211">
        <f>A3A!F16</f>
        <v>643042274.86080003</v>
      </c>
      <c r="G6" s="1209">
        <f>A3A!G16</f>
        <v>853881905.86080003</v>
      </c>
      <c r="H6" s="1212">
        <f>A3A!H16</f>
        <v>853881905.86080003</v>
      </c>
      <c r="I6" s="1213">
        <f>A3A!I16</f>
        <v>948138091.7840209</v>
      </c>
      <c r="J6" s="1209">
        <f>A3A!J16</f>
        <v>934649990.67843556</v>
      </c>
      <c r="K6" s="2151">
        <f>A3A!K16</f>
        <v>1032208660.3938439</v>
      </c>
      <c r="L6" s="188"/>
      <c r="M6" s="189"/>
      <c r="N6" s="189"/>
      <c r="O6" s="189"/>
      <c r="P6" s="189"/>
      <c r="Q6" s="189"/>
      <c r="R6" s="189"/>
      <c r="S6" s="189"/>
      <c r="T6" s="189"/>
      <c r="U6" s="189"/>
      <c r="V6" s="189"/>
      <c r="W6" s="189"/>
    </row>
    <row r="7" spans="1:24" ht="11.25" customHeight="1" x14ac:dyDescent="0.25">
      <c r="A7" s="1208" t="str">
        <f>A3A!A27</f>
        <v>Vote 3 - Infrastructure Development, Service Delivery and Maintenance Management</v>
      </c>
      <c r="B7" s="1187"/>
      <c r="C7" s="1209">
        <f>A3A!C27</f>
        <v>1548538412</v>
      </c>
      <c r="D7" s="1209">
        <f>A3A!D27</f>
        <v>1810650474</v>
      </c>
      <c r="E7" s="1210">
        <f>A3A!E27</f>
        <v>1680967195</v>
      </c>
      <c r="F7" s="1211">
        <f>A3A!F27</f>
        <v>2298991058</v>
      </c>
      <c r="G7" s="1209">
        <f>A3A!G27</f>
        <v>2201635837</v>
      </c>
      <c r="H7" s="1212">
        <f>A3A!H27</f>
        <v>2201635837</v>
      </c>
      <c r="I7" s="1213">
        <f>A3A!I27</f>
        <v>2509630148.7418394</v>
      </c>
      <c r="J7" s="1209">
        <f>A3A!J27</f>
        <v>2704064914.6534824</v>
      </c>
      <c r="K7" s="2151">
        <f>A3A!K27</f>
        <v>2942284058.7700081</v>
      </c>
      <c r="L7" s="188"/>
      <c r="M7" s="189"/>
      <c r="N7" s="189"/>
      <c r="O7" s="189"/>
      <c r="P7" s="189"/>
      <c r="Q7" s="189"/>
      <c r="R7" s="189"/>
      <c r="S7" s="189"/>
      <c r="T7" s="189"/>
      <c r="U7" s="189"/>
      <c r="V7" s="189"/>
      <c r="W7" s="189"/>
    </row>
    <row r="8" spans="1:24" ht="11.25" customHeight="1" x14ac:dyDescent="0.25">
      <c r="A8" s="1208" t="str">
        <f>A3A!A38</f>
        <v>Vote 4 - Sustainable Community Service Delivery Provision Management</v>
      </c>
      <c r="B8" s="1187"/>
      <c r="C8" s="1209">
        <f>A3A!C38</f>
        <v>50615674</v>
      </c>
      <c r="D8" s="1209">
        <f>A3A!D38</f>
        <v>76349424</v>
      </c>
      <c r="E8" s="1210">
        <f>A3A!E38</f>
        <v>74164724</v>
      </c>
      <c r="F8" s="1211">
        <f>A3A!F38</f>
        <v>42837350</v>
      </c>
      <c r="G8" s="1209">
        <f>A3A!G38</f>
        <v>57666056</v>
      </c>
      <c r="H8" s="1212">
        <f>A3A!H38</f>
        <v>57666056</v>
      </c>
      <c r="I8" s="1213">
        <f>A3A!I38</f>
        <v>58532999.696844801</v>
      </c>
      <c r="J8" s="1209">
        <f>A3A!J38</f>
        <v>59375223.958995156</v>
      </c>
      <c r="K8" s="2151">
        <f>A3A!K38</f>
        <v>55954725.007021546</v>
      </c>
      <c r="L8" s="188"/>
      <c r="M8" s="189"/>
      <c r="N8" s="189"/>
      <c r="O8" s="189"/>
      <c r="P8" s="189"/>
      <c r="Q8" s="189"/>
      <c r="R8" s="189"/>
      <c r="S8" s="189"/>
      <c r="T8" s="189"/>
      <c r="U8" s="189"/>
      <c r="V8" s="189"/>
      <c r="W8" s="189"/>
    </row>
    <row r="9" spans="1:24" ht="11.25" customHeight="1" x14ac:dyDescent="0.25">
      <c r="A9" s="1208" t="str">
        <f>A3A!A49</f>
        <v>Vote 5 - [NAME OF VOTE 5]</v>
      </c>
      <c r="B9" s="1187"/>
      <c r="C9" s="1209">
        <f>A3A!C49</f>
        <v>0</v>
      </c>
      <c r="D9" s="1209">
        <f>A3A!D49</f>
        <v>0</v>
      </c>
      <c r="E9" s="1210">
        <f>A3A!E49</f>
        <v>0</v>
      </c>
      <c r="F9" s="1211">
        <f>A3A!F49</f>
        <v>0</v>
      </c>
      <c r="G9" s="1209">
        <f>A3A!G49</f>
        <v>0</v>
      </c>
      <c r="H9" s="1212">
        <f>A3A!H49</f>
        <v>0</v>
      </c>
      <c r="I9" s="1213">
        <f>A3A!I49</f>
        <v>0</v>
      </c>
      <c r="J9" s="1209">
        <f>A3A!J49</f>
        <v>0</v>
      </c>
      <c r="K9" s="2151">
        <f>A3A!K49</f>
        <v>0</v>
      </c>
      <c r="L9" s="188"/>
      <c r="M9" s="189"/>
      <c r="N9" s="189"/>
      <c r="O9" s="189"/>
      <c r="P9" s="189"/>
      <c r="Q9" s="189"/>
      <c r="R9" s="189"/>
      <c r="S9" s="189"/>
      <c r="T9" s="189"/>
      <c r="U9" s="189"/>
      <c r="V9" s="189"/>
      <c r="W9" s="189"/>
    </row>
    <row r="10" spans="1:24" ht="11.25" customHeight="1" x14ac:dyDescent="0.25">
      <c r="A10" s="1208" t="str">
        <f>A3A!A60</f>
        <v>Vote 6 - [NAME OF VOTE 6]</v>
      </c>
      <c r="B10" s="1187"/>
      <c r="C10" s="1209">
        <f>A3A!C60</f>
        <v>0</v>
      </c>
      <c r="D10" s="1209">
        <f>A3A!D60</f>
        <v>0</v>
      </c>
      <c r="E10" s="1210">
        <f>A3A!E60</f>
        <v>0</v>
      </c>
      <c r="F10" s="1211">
        <f>A3A!F60</f>
        <v>0</v>
      </c>
      <c r="G10" s="1209">
        <f>A3A!G60</f>
        <v>0</v>
      </c>
      <c r="H10" s="1212">
        <f>A3A!H60</f>
        <v>0</v>
      </c>
      <c r="I10" s="1213">
        <f>A3A!I60</f>
        <v>0</v>
      </c>
      <c r="J10" s="1209">
        <f>A3A!J60</f>
        <v>0</v>
      </c>
      <c r="K10" s="2151">
        <f>A3A!K60</f>
        <v>0</v>
      </c>
      <c r="L10" s="188"/>
      <c r="M10" s="189"/>
      <c r="N10" s="189"/>
      <c r="O10" s="189"/>
      <c r="P10" s="189"/>
      <c r="Q10" s="189"/>
      <c r="R10" s="189"/>
      <c r="S10" s="189"/>
      <c r="T10" s="189"/>
      <c r="U10" s="189"/>
      <c r="V10" s="189"/>
      <c r="W10" s="189"/>
    </row>
    <row r="11" spans="1:24" ht="11.25" customHeight="1" x14ac:dyDescent="0.25">
      <c r="A11" s="1208" t="str">
        <f>A3A!A71</f>
        <v>Vote 7 - [NAME OF VOTE 7]</v>
      </c>
      <c r="B11" s="1187"/>
      <c r="C11" s="1209">
        <f>A3A!C71</f>
        <v>0</v>
      </c>
      <c r="D11" s="1209">
        <f>A3A!D71</f>
        <v>0</v>
      </c>
      <c r="E11" s="1210">
        <f>A3A!E71</f>
        <v>0</v>
      </c>
      <c r="F11" s="1211">
        <f>A3A!F71</f>
        <v>0</v>
      </c>
      <c r="G11" s="1209">
        <f>A3A!G71</f>
        <v>0</v>
      </c>
      <c r="H11" s="1212">
        <f>A3A!H71</f>
        <v>0</v>
      </c>
      <c r="I11" s="1213">
        <f>A3A!I71</f>
        <v>0</v>
      </c>
      <c r="J11" s="1209">
        <f>A3A!J71</f>
        <v>0</v>
      </c>
      <c r="K11" s="2151">
        <f>A3A!K71</f>
        <v>0</v>
      </c>
      <c r="L11" s="188"/>
      <c r="M11" s="189"/>
      <c r="N11" s="189"/>
      <c r="O11" s="189"/>
      <c r="P11" s="189"/>
      <c r="Q11" s="189"/>
      <c r="R11" s="189"/>
      <c r="S11" s="189"/>
      <c r="T11" s="189"/>
      <c r="U11" s="189"/>
      <c r="V11" s="189"/>
      <c r="W11" s="189"/>
    </row>
    <row r="12" spans="1:24" ht="11.25" customHeight="1" x14ac:dyDescent="0.25">
      <c r="A12" s="1208" t="str">
        <f>A3A!A82</f>
        <v>Vote 8 - [NAME OF VOTE 8]</v>
      </c>
      <c r="B12" s="1187"/>
      <c r="C12" s="1209">
        <f>A3A!C82</f>
        <v>0</v>
      </c>
      <c r="D12" s="1209">
        <f>A3A!D82</f>
        <v>0</v>
      </c>
      <c r="E12" s="1210">
        <f>A3A!E82</f>
        <v>0</v>
      </c>
      <c r="F12" s="1211">
        <f>A3A!F82</f>
        <v>0</v>
      </c>
      <c r="G12" s="1209">
        <f>A3A!G82</f>
        <v>0</v>
      </c>
      <c r="H12" s="1212">
        <f>A3A!H82</f>
        <v>0</v>
      </c>
      <c r="I12" s="1213">
        <f>A3A!I82</f>
        <v>0</v>
      </c>
      <c r="J12" s="1209">
        <f>A3A!J82</f>
        <v>0</v>
      </c>
      <c r="K12" s="2151">
        <f>A3A!K82</f>
        <v>0</v>
      </c>
      <c r="L12" s="188"/>
      <c r="M12" s="189"/>
      <c r="N12" s="189"/>
      <c r="O12" s="189"/>
      <c r="P12" s="189"/>
      <c r="Q12" s="189"/>
      <c r="R12" s="189"/>
      <c r="S12" s="189"/>
      <c r="T12" s="189"/>
      <c r="U12" s="189"/>
      <c r="V12" s="189"/>
      <c r="W12" s="189"/>
    </row>
    <row r="13" spans="1:24" ht="11.25" customHeight="1" x14ac:dyDescent="0.25">
      <c r="A13" s="1208" t="str">
        <f>A3A!A93</f>
        <v>Vote 9 - [NAME OF VOTE 9]</v>
      </c>
      <c r="B13" s="1187"/>
      <c r="C13" s="1209">
        <f>A3A!C93</f>
        <v>0</v>
      </c>
      <c r="D13" s="1209">
        <f>A3A!D93</f>
        <v>0</v>
      </c>
      <c r="E13" s="1210">
        <f>A3A!E93</f>
        <v>0</v>
      </c>
      <c r="F13" s="1211">
        <f>A3A!F93</f>
        <v>0</v>
      </c>
      <c r="G13" s="1209">
        <f>A3A!G93</f>
        <v>0</v>
      </c>
      <c r="H13" s="1212">
        <f>A3A!H93</f>
        <v>0</v>
      </c>
      <c r="I13" s="1213">
        <f>A3A!I93</f>
        <v>0</v>
      </c>
      <c r="J13" s="1209">
        <f>A3A!J93</f>
        <v>0</v>
      </c>
      <c r="K13" s="2151">
        <f>A3A!K93</f>
        <v>0</v>
      </c>
      <c r="L13" s="188"/>
      <c r="M13" s="189"/>
      <c r="N13" s="189"/>
      <c r="O13" s="189"/>
      <c r="P13" s="189"/>
      <c r="Q13" s="189"/>
      <c r="R13" s="189"/>
      <c r="S13" s="189"/>
      <c r="T13" s="189"/>
      <c r="U13" s="189"/>
      <c r="V13" s="189"/>
      <c r="W13" s="189"/>
      <c r="X13" s="370"/>
    </row>
    <row r="14" spans="1:24" ht="11.25" customHeight="1" x14ac:dyDescent="0.25">
      <c r="A14" s="1208" t="str">
        <f>A3A!A104</f>
        <v>Vote 10 - [NAME OF VOTE 10]</v>
      </c>
      <c r="B14" s="1187"/>
      <c r="C14" s="1209">
        <f>A3A!C104</f>
        <v>0</v>
      </c>
      <c r="D14" s="1209">
        <f>A3A!D104</f>
        <v>0</v>
      </c>
      <c r="E14" s="1210">
        <f>A3A!E104</f>
        <v>0</v>
      </c>
      <c r="F14" s="1211">
        <f>A3A!F104</f>
        <v>0</v>
      </c>
      <c r="G14" s="1209">
        <f>A3A!G104</f>
        <v>0</v>
      </c>
      <c r="H14" s="1212">
        <f>A3A!H104</f>
        <v>0</v>
      </c>
      <c r="I14" s="1213">
        <f>A3A!I104</f>
        <v>0</v>
      </c>
      <c r="J14" s="2154">
        <f>A3A!J104</f>
        <v>0</v>
      </c>
      <c r="K14" s="2151">
        <f>A3A!K104</f>
        <v>0</v>
      </c>
      <c r="L14" s="188"/>
      <c r="M14" s="189"/>
      <c r="N14" s="189"/>
      <c r="O14" s="189"/>
      <c r="P14" s="189"/>
      <c r="Q14" s="189"/>
      <c r="R14" s="189"/>
      <c r="S14" s="189"/>
      <c r="T14" s="189"/>
      <c r="U14" s="189"/>
      <c r="V14" s="189"/>
      <c r="W14" s="189"/>
      <c r="X14" s="370"/>
    </row>
    <row r="15" spans="1:24" ht="11.25" customHeight="1" x14ac:dyDescent="0.25">
      <c r="A15" s="1208" t="str">
        <f>A3A!A115</f>
        <v>Vote 11 - [NAME OF VOTE 11]</v>
      </c>
      <c r="B15" s="1187"/>
      <c r="C15" s="192">
        <f>A3A!C115</f>
        <v>0</v>
      </c>
      <c r="D15" s="192">
        <f>A3A!D115</f>
        <v>0</v>
      </c>
      <c r="E15" s="191">
        <f>A3A!E115</f>
        <v>0</v>
      </c>
      <c r="F15" s="194">
        <f>A3A!F115</f>
        <v>0</v>
      </c>
      <c r="G15" s="192">
        <f>A3A!G115</f>
        <v>0</v>
      </c>
      <c r="H15" s="193">
        <f>A3A!H115</f>
        <v>0</v>
      </c>
      <c r="I15" s="1272">
        <f>A3A!I115</f>
        <v>0</v>
      </c>
      <c r="J15" s="191">
        <f>A3A!J115</f>
        <v>0</v>
      </c>
      <c r="K15" s="1273">
        <f>A3A!K115</f>
        <v>0</v>
      </c>
      <c r="L15" s="193">
        <f>A5A!L115</f>
        <v>0</v>
      </c>
      <c r="M15" s="189"/>
      <c r="N15" s="189"/>
      <c r="O15" s="189"/>
      <c r="P15" s="189"/>
      <c r="Q15" s="189"/>
      <c r="R15" s="189"/>
      <c r="S15" s="189"/>
      <c r="T15" s="189"/>
      <c r="U15" s="189"/>
      <c r="V15" s="189"/>
      <c r="W15" s="189"/>
      <c r="X15" s="370"/>
    </row>
    <row r="16" spans="1:24" ht="11.25" customHeight="1" x14ac:dyDescent="0.25">
      <c r="A16" s="1208" t="str">
        <f>A3A!A126</f>
        <v>Vote 12 - [NAME OF VOTE 12]</v>
      </c>
      <c r="B16" s="1187"/>
      <c r="C16" s="192">
        <f>A3A!C126</f>
        <v>0</v>
      </c>
      <c r="D16" s="192">
        <f>A3A!D126</f>
        <v>0</v>
      </c>
      <c r="E16" s="191">
        <f>A3A!E126</f>
        <v>0</v>
      </c>
      <c r="F16" s="194">
        <f>A3A!F126</f>
        <v>0</v>
      </c>
      <c r="G16" s="192">
        <f>A3A!G126</f>
        <v>0</v>
      </c>
      <c r="H16" s="193">
        <f>A3A!H126</f>
        <v>0</v>
      </c>
      <c r="I16" s="1272">
        <f>A3A!I126</f>
        <v>0</v>
      </c>
      <c r="J16" s="191">
        <f>A3A!J126</f>
        <v>0</v>
      </c>
      <c r="K16" s="1273">
        <f>A3A!K126</f>
        <v>0</v>
      </c>
      <c r="L16" s="193">
        <f>A5A!L126</f>
        <v>0</v>
      </c>
      <c r="M16" s="189"/>
      <c r="N16" s="189"/>
      <c r="O16" s="189"/>
      <c r="P16" s="189"/>
      <c r="Q16" s="189"/>
      <c r="R16" s="189"/>
      <c r="S16" s="189"/>
      <c r="T16" s="189"/>
      <c r="U16" s="189"/>
      <c r="V16" s="189"/>
      <c r="W16" s="189"/>
      <c r="X16" s="370"/>
    </row>
    <row r="17" spans="1:24" ht="11.25" customHeight="1" x14ac:dyDescent="0.25">
      <c r="A17" s="1208" t="str">
        <f>A3A!A137</f>
        <v>Vote 13 - [NAME OF VOTE 13]</v>
      </c>
      <c r="B17" s="1187"/>
      <c r="C17" s="192">
        <f>A3A!C137</f>
        <v>0</v>
      </c>
      <c r="D17" s="192">
        <f>A3A!D137</f>
        <v>0</v>
      </c>
      <c r="E17" s="191">
        <f>A3A!E137</f>
        <v>0</v>
      </c>
      <c r="F17" s="194">
        <f>A3A!F137</f>
        <v>0</v>
      </c>
      <c r="G17" s="192">
        <f>A3A!G137</f>
        <v>0</v>
      </c>
      <c r="H17" s="193">
        <f>A3A!H137</f>
        <v>0</v>
      </c>
      <c r="I17" s="1272">
        <f>A3A!I137</f>
        <v>0</v>
      </c>
      <c r="J17" s="191">
        <f>A3A!J137</f>
        <v>0</v>
      </c>
      <c r="K17" s="1273">
        <f>A3A!K137</f>
        <v>0</v>
      </c>
      <c r="L17" s="193">
        <f>A5A!L137</f>
        <v>0</v>
      </c>
      <c r="M17" s="189"/>
      <c r="N17" s="189"/>
      <c r="O17" s="189"/>
      <c r="P17" s="189"/>
      <c r="Q17" s="189"/>
      <c r="R17" s="189"/>
      <c r="S17" s="189"/>
      <c r="T17" s="189"/>
      <c r="U17" s="189"/>
      <c r="V17" s="189"/>
      <c r="W17" s="189"/>
      <c r="X17" s="370"/>
    </row>
    <row r="18" spans="1:24" ht="11.25" customHeight="1" x14ac:dyDescent="0.25">
      <c r="A18" s="1208" t="str">
        <f>A3A!A148</f>
        <v>Vote 14 - [NAME OF VOTE 14]</v>
      </c>
      <c r="B18" s="1187"/>
      <c r="C18" s="192">
        <f>A3A!C148</f>
        <v>0</v>
      </c>
      <c r="D18" s="192">
        <f>A3A!D148</f>
        <v>0</v>
      </c>
      <c r="E18" s="191">
        <f>A3A!E148</f>
        <v>0</v>
      </c>
      <c r="F18" s="194">
        <f>A3A!F148</f>
        <v>0</v>
      </c>
      <c r="G18" s="192">
        <f>A3A!G148</f>
        <v>0</v>
      </c>
      <c r="H18" s="193">
        <f>A3A!H148</f>
        <v>0</v>
      </c>
      <c r="I18" s="1272">
        <f>A3A!I148</f>
        <v>0</v>
      </c>
      <c r="J18" s="191">
        <f>A3A!J148</f>
        <v>0</v>
      </c>
      <c r="K18" s="1273">
        <f>A3A!K148</f>
        <v>0</v>
      </c>
      <c r="L18" s="193">
        <f>A5A!L148</f>
        <v>0</v>
      </c>
      <c r="M18" s="189"/>
      <c r="N18" s="189"/>
      <c r="O18" s="189"/>
      <c r="P18" s="189"/>
      <c r="Q18" s="189"/>
      <c r="R18" s="189"/>
      <c r="S18" s="189"/>
      <c r="T18" s="189"/>
      <c r="U18" s="189"/>
      <c r="V18" s="189"/>
      <c r="W18" s="189"/>
      <c r="X18" s="370"/>
    </row>
    <row r="19" spans="1:24" ht="11.25" customHeight="1" x14ac:dyDescent="0.25">
      <c r="A19" s="1208" t="str">
        <f>A3A!A159</f>
        <v>Vote 15 - [NAME OF VOTE 15]</v>
      </c>
      <c r="B19" s="1187"/>
      <c r="C19" s="192">
        <f>A3A!C159</f>
        <v>0</v>
      </c>
      <c r="D19" s="192">
        <f>A3A!D159</f>
        <v>0</v>
      </c>
      <c r="E19" s="191">
        <f>A3A!E159</f>
        <v>0</v>
      </c>
      <c r="F19" s="194">
        <f>A3A!F159</f>
        <v>0</v>
      </c>
      <c r="G19" s="192">
        <f>A3A!G159</f>
        <v>0</v>
      </c>
      <c r="H19" s="193">
        <f>A3A!H159</f>
        <v>0</v>
      </c>
      <c r="I19" s="2155">
        <f>A3A!I159</f>
        <v>0</v>
      </c>
      <c r="J19" s="191">
        <f>A3A!J159</f>
        <v>0</v>
      </c>
      <c r="K19" s="1273">
        <f>A3A!K159</f>
        <v>0</v>
      </c>
      <c r="L19" s="193">
        <f>A5A!L159</f>
        <v>0</v>
      </c>
      <c r="M19" s="189"/>
      <c r="N19" s="189"/>
      <c r="O19" s="189"/>
      <c r="P19" s="189"/>
      <c r="Q19" s="189"/>
      <c r="R19" s="189"/>
      <c r="S19" s="189"/>
      <c r="T19" s="189"/>
      <c r="U19" s="189"/>
      <c r="V19" s="189"/>
      <c r="W19" s="189"/>
      <c r="X19" s="370"/>
    </row>
    <row r="20" spans="1:24" ht="11.25" customHeight="1" x14ac:dyDescent="0.25">
      <c r="A20" s="1367" t="s">
        <v>180</v>
      </c>
      <c r="B20" s="1366">
        <v>2</v>
      </c>
      <c r="C20" s="1368">
        <f>SUM(C5:C19)</f>
        <v>2575836189</v>
      </c>
      <c r="D20" s="1368">
        <f t="shared" ref="D20:K20" si="0">SUM(D5:D19)</f>
        <v>2901980024</v>
      </c>
      <c r="E20" s="1369">
        <f t="shared" si="0"/>
        <v>2887564128</v>
      </c>
      <c r="F20" s="1370">
        <f t="shared" si="0"/>
        <v>2987790908.8607998</v>
      </c>
      <c r="G20" s="1368">
        <f t="shared" si="0"/>
        <v>3138030714.8607998</v>
      </c>
      <c r="H20" s="1371">
        <f t="shared" si="0"/>
        <v>3138030714.8607998</v>
      </c>
      <c r="I20" s="1372">
        <f t="shared" si="0"/>
        <v>3540413513.5554299</v>
      </c>
      <c r="J20" s="1368">
        <f t="shared" si="0"/>
        <v>3722549351.2119837</v>
      </c>
      <c r="K20" s="2157">
        <f t="shared" si="0"/>
        <v>4053497614.6834826</v>
      </c>
      <c r="L20" s="199"/>
      <c r="M20" s="200"/>
      <c r="N20" s="200"/>
      <c r="O20" s="200"/>
      <c r="P20" s="200"/>
      <c r="Q20" s="200"/>
      <c r="R20" s="200"/>
      <c r="S20" s="200"/>
      <c r="T20" s="200"/>
      <c r="U20" s="200"/>
      <c r="V20" s="200"/>
      <c r="W20" s="200"/>
      <c r="X20" s="370"/>
    </row>
    <row r="21" spans="1:24" ht="5.15" customHeight="1" x14ac:dyDescent="0.25">
      <c r="A21" s="1220"/>
      <c r="B21" s="1187"/>
      <c r="C21" s="1221"/>
      <c r="D21" s="1221"/>
      <c r="E21" s="1222"/>
      <c r="F21" s="1223"/>
      <c r="G21" s="1221"/>
      <c r="H21" s="1224"/>
      <c r="I21" s="1225"/>
      <c r="J21" s="1221"/>
      <c r="K21" s="2158"/>
      <c r="L21" s="195"/>
      <c r="M21" s="196"/>
      <c r="N21" s="196"/>
      <c r="O21" s="196"/>
      <c r="P21" s="196"/>
      <c r="Q21" s="196"/>
      <c r="R21" s="196"/>
      <c r="S21" s="196"/>
      <c r="T21" s="196"/>
      <c r="U21" s="196"/>
      <c r="V21" s="196"/>
      <c r="W21" s="196"/>
      <c r="X21" s="370"/>
    </row>
    <row r="22" spans="1:24" ht="11.25" customHeight="1" x14ac:dyDescent="0.25">
      <c r="A22" s="1202" t="s">
        <v>948</v>
      </c>
      <c r="B22" s="1187">
        <v>1</v>
      </c>
      <c r="C22" s="1221"/>
      <c r="D22" s="1221"/>
      <c r="E22" s="1222"/>
      <c r="F22" s="1223"/>
      <c r="G22" s="1221"/>
      <c r="H22" s="1224"/>
      <c r="I22" s="1225"/>
      <c r="J22" s="1221"/>
      <c r="K22" s="2158"/>
      <c r="L22" s="195"/>
      <c r="M22" s="196"/>
      <c r="N22" s="196"/>
      <c r="O22" s="196"/>
      <c r="P22" s="196"/>
      <c r="Q22" s="196"/>
      <c r="R22" s="196"/>
      <c r="S22" s="196"/>
      <c r="T22" s="196"/>
      <c r="U22" s="196"/>
      <c r="V22" s="196"/>
      <c r="W22" s="196"/>
      <c r="X22" s="370"/>
    </row>
    <row r="23" spans="1:24" ht="11.25" customHeight="1" x14ac:dyDescent="0.25">
      <c r="A23" s="1208" t="str">
        <f>A3A!A173</f>
        <v xml:space="preserve">Vote 1 - Corporate Services </v>
      </c>
      <c r="B23" s="1187"/>
      <c r="C23" s="1209">
        <f>A3A!C173</f>
        <v>16911750</v>
      </c>
      <c r="D23" s="1209">
        <f>A3A!D173</f>
        <v>19008636</v>
      </c>
      <c r="E23" s="1210">
        <f>A3A!E173</f>
        <v>22372581</v>
      </c>
      <c r="F23" s="1211">
        <f>A3A!F173</f>
        <v>241789034</v>
      </c>
      <c r="G23" s="1209">
        <f>A3A!G173</f>
        <v>267726765</v>
      </c>
      <c r="H23" s="1212">
        <f>A3A!H173</f>
        <v>267726765</v>
      </c>
      <c r="I23" s="1213">
        <f>A3A!I173</f>
        <v>285543888.78965724</v>
      </c>
      <c r="J23" s="1209">
        <f>A3A!J173</f>
        <v>312317351.95066243</v>
      </c>
      <c r="K23" s="2151">
        <f>A3A!K173</f>
        <v>340422107.05308932</v>
      </c>
      <c r="L23" s="195"/>
      <c r="M23" s="196"/>
      <c r="N23" s="196"/>
      <c r="O23" s="196"/>
      <c r="P23" s="196"/>
      <c r="Q23" s="196"/>
      <c r="R23" s="196"/>
      <c r="S23" s="196"/>
      <c r="T23" s="196"/>
      <c r="U23" s="196"/>
      <c r="V23" s="196"/>
      <c r="W23" s="196"/>
      <c r="X23" s="370"/>
    </row>
    <row r="24" spans="1:24" ht="11.25" customHeight="1" x14ac:dyDescent="0.25">
      <c r="A24" s="1208" t="str">
        <f>A3A!A184</f>
        <v>Vote 2 - Financial Management Area</v>
      </c>
      <c r="B24" s="1187"/>
      <c r="C24" s="1209">
        <f>A3A!C184</f>
        <v>470475319</v>
      </c>
      <c r="D24" s="1209">
        <f>A3A!D184</f>
        <v>493682769</v>
      </c>
      <c r="E24" s="1210">
        <f>A3A!E184</f>
        <v>507855603</v>
      </c>
      <c r="F24" s="1211">
        <f>A3A!F184</f>
        <v>243368223</v>
      </c>
      <c r="G24" s="1209">
        <f>A3A!G184</f>
        <v>164159753</v>
      </c>
      <c r="H24" s="1212">
        <f>A3A!H184</f>
        <v>164159753</v>
      </c>
      <c r="I24" s="1213">
        <f>A3A!I184</f>
        <v>244420739.4692466</v>
      </c>
      <c r="J24" s="1209">
        <f>A3A!J184</f>
        <v>120176885.40701947</v>
      </c>
      <c r="K24" s="2151">
        <f>A3A!K184</f>
        <v>271644565.35633981</v>
      </c>
      <c r="L24" s="208"/>
      <c r="M24" s="209"/>
      <c r="N24" s="209"/>
      <c r="O24" s="209"/>
      <c r="P24" s="209"/>
      <c r="Q24" s="209"/>
      <c r="R24" s="209"/>
      <c r="S24" s="209"/>
      <c r="T24" s="209"/>
      <c r="U24" s="209"/>
      <c r="V24" s="209"/>
      <c r="W24" s="209"/>
      <c r="X24" s="370"/>
    </row>
    <row r="25" spans="1:24" ht="11.25" customHeight="1" x14ac:dyDescent="0.25">
      <c r="A25" s="1208" t="str">
        <f>A3A!A195</f>
        <v>Vote 3 - Infrastructure Development, Service Delivery and Maintenance Management</v>
      </c>
      <c r="B25" s="1187"/>
      <c r="C25" s="1209">
        <f>A3A!C195</f>
        <v>1928257805</v>
      </c>
      <c r="D25" s="1209">
        <f>A3A!D195</f>
        <v>1849210946</v>
      </c>
      <c r="E25" s="1210">
        <f>A3A!E195</f>
        <v>1659881852</v>
      </c>
      <c r="F25" s="1211">
        <f>A3A!F195</f>
        <v>2088989504</v>
      </c>
      <c r="G25" s="1209">
        <f>A3A!G195</f>
        <v>2279080106</v>
      </c>
      <c r="H25" s="1212">
        <f>A3A!H195</f>
        <v>2279080106</v>
      </c>
      <c r="I25" s="1213">
        <f>A3A!I195</f>
        <v>2533556898.4976683</v>
      </c>
      <c r="J25" s="1209">
        <f>A3A!J195</f>
        <v>2776361220.6007533</v>
      </c>
      <c r="K25" s="2151">
        <f>A3A!K195</f>
        <v>2781093194.9377751</v>
      </c>
      <c r="L25" s="208"/>
      <c r="M25" s="209"/>
      <c r="N25" s="209"/>
      <c r="O25" s="209"/>
      <c r="P25" s="209"/>
      <c r="Q25" s="209"/>
      <c r="R25" s="209"/>
      <c r="S25" s="209"/>
      <c r="T25" s="209"/>
      <c r="U25" s="209"/>
      <c r="V25" s="209"/>
      <c r="W25" s="209"/>
      <c r="X25" s="370"/>
    </row>
    <row r="26" spans="1:24" ht="11.25" customHeight="1" x14ac:dyDescent="0.25">
      <c r="A26" s="1208" t="str">
        <f>A3A!A206</f>
        <v>Vote 4 - Sustainable Community Service Delivery Provision Management</v>
      </c>
      <c r="B26" s="1187"/>
      <c r="C26" s="1209">
        <f>A3A!C206</f>
        <v>391455308</v>
      </c>
      <c r="D26" s="1209">
        <f>A3A!D206</f>
        <v>445298966</v>
      </c>
      <c r="E26" s="1210">
        <f>A3A!E206</f>
        <v>462986134</v>
      </c>
      <c r="F26" s="1211">
        <f>A3A!F206</f>
        <v>408499525</v>
      </c>
      <c r="G26" s="1209">
        <f>A3A!G206</f>
        <v>418271583</v>
      </c>
      <c r="H26" s="1212">
        <f>A3A!H206</f>
        <v>418271583</v>
      </c>
      <c r="I26" s="1213">
        <f>A3A!I206</f>
        <v>410306167.30711836</v>
      </c>
      <c r="J26" s="1209">
        <f>A3A!J206</f>
        <v>449136989.49651557</v>
      </c>
      <c r="K26" s="2151">
        <f>A3A!K206</f>
        <v>610336980.69304967</v>
      </c>
      <c r="L26" s="208"/>
      <c r="M26" s="209"/>
      <c r="N26" s="209"/>
      <c r="O26" s="209"/>
      <c r="P26" s="209"/>
      <c r="Q26" s="209"/>
      <c r="R26" s="209"/>
      <c r="S26" s="209"/>
      <c r="T26" s="209"/>
      <c r="U26" s="209"/>
      <c r="V26" s="209"/>
      <c r="W26" s="209"/>
      <c r="X26" s="370"/>
    </row>
    <row r="27" spans="1:24" ht="11.25" customHeight="1" x14ac:dyDescent="0.25">
      <c r="A27" s="1208" t="str">
        <f>A3A!A217</f>
        <v>Vote 5 - [NAME OF VOTE 5]</v>
      </c>
      <c r="B27" s="1187"/>
      <c r="C27" s="1209">
        <f>A3A!C217</f>
        <v>0</v>
      </c>
      <c r="D27" s="1209">
        <f>A3A!D217</f>
        <v>0</v>
      </c>
      <c r="E27" s="1210">
        <f>A3A!E217</f>
        <v>0</v>
      </c>
      <c r="F27" s="1211">
        <f>A3A!F217</f>
        <v>0</v>
      </c>
      <c r="G27" s="1209">
        <f>A3A!G217</f>
        <v>0</v>
      </c>
      <c r="H27" s="1212">
        <f>A3A!H217</f>
        <v>0</v>
      </c>
      <c r="I27" s="1213">
        <f>A3A!I217</f>
        <v>0</v>
      </c>
      <c r="J27" s="1209">
        <f>A3A!J217</f>
        <v>0</v>
      </c>
      <c r="K27" s="2151">
        <f>A3A!K217</f>
        <v>0</v>
      </c>
      <c r="L27" s="208"/>
      <c r="M27" s="209"/>
      <c r="N27" s="209"/>
      <c r="O27" s="209"/>
      <c r="P27" s="209"/>
      <c r="Q27" s="209"/>
      <c r="R27" s="209"/>
      <c r="S27" s="209"/>
      <c r="T27" s="209"/>
      <c r="U27" s="209"/>
      <c r="V27" s="209"/>
      <c r="W27" s="209"/>
      <c r="X27" s="370"/>
    </row>
    <row r="28" spans="1:24" ht="11.25" customHeight="1" x14ac:dyDescent="0.25">
      <c r="A28" s="1208" t="str">
        <f>A3A!A228</f>
        <v>Vote 6 - [NAME OF VOTE 6]</v>
      </c>
      <c r="B28" s="1187"/>
      <c r="C28" s="1209">
        <f>A3A!C228</f>
        <v>0</v>
      </c>
      <c r="D28" s="1209">
        <f>A3A!D228</f>
        <v>0</v>
      </c>
      <c r="E28" s="1210">
        <f>A3A!E228</f>
        <v>0</v>
      </c>
      <c r="F28" s="1211">
        <f>A3A!F228</f>
        <v>0</v>
      </c>
      <c r="G28" s="1209">
        <f>A3A!G228</f>
        <v>0</v>
      </c>
      <c r="H28" s="1212">
        <f>A3A!H228</f>
        <v>0</v>
      </c>
      <c r="I28" s="1213">
        <f>A3A!I228</f>
        <v>0</v>
      </c>
      <c r="J28" s="1209">
        <f>A3A!J228</f>
        <v>0</v>
      </c>
      <c r="K28" s="2151">
        <f>A3A!K228</f>
        <v>0</v>
      </c>
      <c r="L28" s="208"/>
      <c r="M28" s="209"/>
      <c r="N28" s="209"/>
      <c r="O28" s="209"/>
      <c r="P28" s="209"/>
      <c r="Q28" s="209"/>
      <c r="R28" s="209"/>
      <c r="S28" s="209"/>
      <c r="T28" s="209"/>
      <c r="U28" s="209"/>
      <c r="V28" s="209"/>
      <c r="W28" s="209"/>
      <c r="X28" s="370"/>
    </row>
    <row r="29" spans="1:24" ht="11.25" customHeight="1" x14ac:dyDescent="0.25">
      <c r="A29" s="1208" t="str">
        <f>A3A!A239</f>
        <v>Vote 7 - [NAME OF VOTE 7]</v>
      </c>
      <c r="B29" s="1187"/>
      <c r="C29" s="1209">
        <f>A3A!C239</f>
        <v>0</v>
      </c>
      <c r="D29" s="1209">
        <f>A3A!D239</f>
        <v>0</v>
      </c>
      <c r="E29" s="1210">
        <f>A3A!E239</f>
        <v>0</v>
      </c>
      <c r="F29" s="1211">
        <f>A3A!F239</f>
        <v>0</v>
      </c>
      <c r="G29" s="1209">
        <f>A3A!G239</f>
        <v>0</v>
      </c>
      <c r="H29" s="1212">
        <f>A3A!H239</f>
        <v>0</v>
      </c>
      <c r="I29" s="1213">
        <f>A3A!I239</f>
        <v>0</v>
      </c>
      <c r="J29" s="1209">
        <f>A3A!J239</f>
        <v>0</v>
      </c>
      <c r="K29" s="2151">
        <f>A3A!K239</f>
        <v>0</v>
      </c>
      <c r="L29" s="208"/>
      <c r="M29" s="209"/>
      <c r="N29" s="209"/>
      <c r="O29" s="209"/>
      <c r="P29" s="209"/>
      <c r="Q29" s="209"/>
      <c r="R29" s="209"/>
      <c r="S29" s="209"/>
      <c r="T29" s="209"/>
      <c r="U29" s="209"/>
      <c r="V29" s="209"/>
      <c r="W29" s="209"/>
      <c r="X29" s="370"/>
    </row>
    <row r="30" spans="1:24" ht="11.25" customHeight="1" x14ac:dyDescent="0.25">
      <c r="A30" s="1208" t="str">
        <f>A3A!A250</f>
        <v>Vote 8 - [NAME OF VOTE 8]</v>
      </c>
      <c r="B30" s="1187"/>
      <c r="C30" s="1209">
        <f>A3A!C250</f>
        <v>0</v>
      </c>
      <c r="D30" s="1209">
        <f>A3A!D250</f>
        <v>0</v>
      </c>
      <c r="E30" s="1210">
        <f>A3A!E250</f>
        <v>0</v>
      </c>
      <c r="F30" s="1211">
        <f>A3A!F250</f>
        <v>0</v>
      </c>
      <c r="G30" s="1209">
        <f>A3A!G250</f>
        <v>0</v>
      </c>
      <c r="H30" s="1212">
        <f>A3A!H250</f>
        <v>0</v>
      </c>
      <c r="I30" s="1213">
        <f>A3A!I250</f>
        <v>0</v>
      </c>
      <c r="J30" s="1209">
        <f>A3A!J250</f>
        <v>0</v>
      </c>
      <c r="K30" s="2151">
        <f>A3A!K250</f>
        <v>0</v>
      </c>
      <c r="L30" s="208"/>
      <c r="M30" s="209"/>
      <c r="N30" s="209"/>
      <c r="O30" s="209"/>
      <c r="P30" s="209"/>
      <c r="Q30" s="209"/>
      <c r="R30" s="209"/>
      <c r="S30" s="209"/>
      <c r="T30" s="209"/>
      <c r="U30" s="209"/>
      <c r="V30" s="209"/>
      <c r="W30" s="209"/>
      <c r="X30" s="370"/>
    </row>
    <row r="31" spans="1:24" ht="11.25" customHeight="1" x14ac:dyDescent="0.25">
      <c r="A31" s="1208" t="str">
        <f>A3A!A261</f>
        <v>Vote 9 - [NAME OF VOTE 9]</v>
      </c>
      <c r="B31" s="1187"/>
      <c r="C31" s="1209">
        <f>A3A!C261</f>
        <v>0</v>
      </c>
      <c r="D31" s="1209">
        <f>A3A!D261</f>
        <v>0</v>
      </c>
      <c r="E31" s="1210">
        <f>A3A!E261</f>
        <v>0</v>
      </c>
      <c r="F31" s="1211">
        <f>A3A!F261</f>
        <v>0</v>
      </c>
      <c r="G31" s="1209">
        <f>A3A!G261</f>
        <v>0</v>
      </c>
      <c r="H31" s="1212">
        <f>A3A!H261</f>
        <v>0</v>
      </c>
      <c r="I31" s="1213">
        <f>A3A!I261</f>
        <v>0</v>
      </c>
      <c r="J31" s="1209">
        <f>A3A!J261</f>
        <v>0</v>
      </c>
      <c r="K31" s="2151">
        <f>A3A!K261</f>
        <v>0</v>
      </c>
      <c r="L31" s="208"/>
      <c r="M31" s="209"/>
      <c r="N31" s="209"/>
      <c r="O31" s="209"/>
      <c r="P31" s="209"/>
      <c r="Q31" s="209"/>
      <c r="R31" s="209"/>
      <c r="S31" s="209"/>
      <c r="T31" s="209"/>
      <c r="U31" s="209"/>
      <c r="V31" s="209"/>
      <c r="W31" s="209"/>
      <c r="X31" s="370"/>
    </row>
    <row r="32" spans="1:24" ht="11.25" customHeight="1" x14ac:dyDescent="0.25">
      <c r="A32" s="1208" t="str">
        <f>A3A!A272</f>
        <v>Vote 10 - [NAME OF VOTE 10]</v>
      </c>
      <c r="B32" s="1187"/>
      <c r="C32" s="1209">
        <f>A3A!C272</f>
        <v>0</v>
      </c>
      <c r="D32" s="1209">
        <f>A3A!D272</f>
        <v>0</v>
      </c>
      <c r="E32" s="1210">
        <f>A3A!E272</f>
        <v>0</v>
      </c>
      <c r="F32" s="1211">
        <f>A3A!F272</f>
        <v>0</v>
      </c>
      <c r="G32" s="1209">
        <f>A3A!G272</f>
        <v>0</v>
      </c>
      <c r="H32" s="1212">
        <f>A3A!H272</f>
        <v>0</v>
      </c>
      <c r="I32" s="1213">
        <f>A3A!I272</f>
        <v>0</v>
      </c>
      <c r="J32" s="1209">
        <f>A3A!J272</f>
        <v>0</v>
      </c>
      <c r="K32" s="2151">
        <f>A3A!K272</f>
        <v>0</v>
      </c>
      <c r="L32" s="208"/>
      <c r="M32" s="209"/>
      <c r="N32" s="209"/>
      <c r="O32" s="209"/>
      <c r="P32" s="209"/>
      <c r="Q32" s="209"/>
      <c r="R32" s="209"/>
      <c r="S32" s="209"/>
      <c r="T32" s="209"/>
      <c r="U32" s="209"/>
      <c r="V32" s="209"/>
      <c r="W32" s="209"/>
      <c r="X32" s="370"/>
    </row>
    <row r="33" spans="1:24" ht="11.25" customHeight="1" x14ac:dyDescent="0.25">
      <c r="A33" s="1208" t="str">
        <f>A3A!A283</f>
        <v>Vote 11 - [NAME OF VOTE 11]</v>
      </c>
      <c r="B33" s="1187"/>
      <c r="C33" s="324">
        <f>A3A!C283</f>
        <v>0</v>
      </c>
      <c r="D33" s="324">
        <f>A3A!D283</f>
        <v>0</v>
      </c>
      <c r="E33" s="193">
        <f>A3A!E283</f>
        <v>0</v>
      </c>
      <c r="F33" s="194">
        <f>A3A!F283</f>
        <v>0</v>
      </c>
      <c r="G33" s="192">
        <f>A3A!G283</f>
        <v>0</v>
      </c>
      <c r="H33" s="193">
        <f>A3A!H283</f>
        <v>0</v>
      </c>
      <c r="I33" s="1272">
        <f>A3A!I283</f>
        <v>0</v>
      </c>
      <c r="J33" s="192">
        <f>A3A!J283</f>
        <v>0</v>
      </c>
      <c r="K33" s="1273">
        <f>A3A!K283</f>
        <v>0</v>
      </c>
      <c r="L33" s="193">
        <f>A3A!L284</f>
        <v>0</v>
      </c>
      <c r="M33" s="209"/>
      <c r="N33" s="209"/>
      <c r="O33" s="209"/>
      <c r="P33" s="209"/>
      <c r="Q33" s="209"/>
      <c r="R33" s="209"/>
      <c r="S33" s="209"/>
      <c r="T33" s="209"/>
      <c r="U33" s="209"/>
      <c r="V33" s="209"/>
      <c r="W33" s="209"/>
      <c r="X33" s="370"/>
    </row>
    <row r="34" spans="1:24" ht="11.25" customHeight="1" x14ac:dyDescent="0.25">
      <c r="A34" s="1208" t="str">
        <f>A3A!A294</f>
        <v>Vote 12 - [NAME OF VOTE 12]</v>
      </c>
      <c r="B34" s="1187"/>
      <c r="C34" s="324">
        <f>A3A!C294</f>
        <v>0</v>
      </c>
      <c r="D34" s="324">
        <f>A3A!D294</f>
        <v>0</v>
      </c>
      <c r="E34" s="193">
        <f>A3A!E294</f>
        <v>0</v>
      </c>
      <c r="F34" s="194">
        <f>A3A!F294</f>
        <v>0</v>
      </c>
      <c r="G34" s="192">
        <f>A3A!G294</f>
        <v>0</v>
      </c>
      <c r="H34" s="193">
        <f>A3A!H294</f>
        <v>0</v>
      </c>
      <c r="I34" s="1272">
        <f>A3A!I294</f>
        <v>0</v>
      </c>
      <c r="J34" s="192">
        <f>A3A!J294</f>
        <v>0</v>
      </c>
      <c r="K34" s="1273">
        <f>A3A!K294</f>
        <v>0</v>
      </c>
      <c r="L34" s="193">
        <f>A3A!L295</f>
        <v>0</v>
      </c>
      <c r="M34" s="209"/>
      <c r="N34" s="209"/>
      <c r="O34" s="209"/>
      <c r="P34" s="209"/>
      <c r="Q34" s="209"/>
      <c r="R34" s="209"/>
      <c r="S34" s="209"/>
      <c r="T34" s="209"/>
      <c r="U34" s="209"/>
      <c r="V34" s="209"/>
      <c r="W34" s="209"/>
      <c r="X34" s="370"/>
    </row>
    <row r="35" spans="1:24" ht="11.25" customHeight="1" x14ac:dyDescent="0.25">
      <c r="A35" s="1208" t="str">
        <f>A3A!A305</f>
        <v>Vote 13 - [NAME OF VOTE 13]</v>
      </c>
      <c r="B35" s="1187"/>
      <c r="C35" s="1512">
        <f>A3A!C305</f>
        <v>0</v>
      </c>
      <c r="D35" s="1512">
        <f>A3A!D305</f>
        <v>0</v>
      </c>
      <c r="E35" s="1513">
        <f>A3A!E305</f>
        <v>0</v>
      </c>
      <c r="F35" s="1514">
        <f>A3A!F305</f>
        <v>0</v>
      </c>
      <c r="G35" s="1472">
        <f>A3A!G305</f>
        <v>0</v>
      </c>
      <c r="H35" s="1513">
        <f>A3A!H305</f>
        <v>0</v>
      </c>
      <c r="I35" s="2152">
        <f>A3A!I305</f>
        <v>0</v>
      </c>
      <c r="J35" s="1472">
        <f>A3A!J305</f>
        <v>0</v>
      </c>
      <c r="K35" s="2159">
        <f>A3A!K305</f>
        <v>0</v>
      </c>
      <c r="L35" s="1513">
        <f>A3A!L306</f>
        <v>0</v>
      </c>
      <c r="M35" s="209"/>
      <c r="N35" s="209"/>
      <c r="O35" s="209"/>
      <c r="P35" s="209"/>
      <c r="Q35" s="209"/>
      <c r="R35" s="209"/>
      <c r="S35" s="209"/>
      <c r="T35" s="209"/>
      <c r="U35" s="209"/>
      <c r="V35" s="209"/>
      <c r="W35" s="209"/>
      <c r="X35" s="370"/>
    </row>
    <row r="36" spans="1:24" ht="11.25" customHeight="1" x14ac:dyDescent="0.25">
      <c r="A36" s="1208" t="str">
        <f>A3A!A316</f>
        <v>Vote 14 - [NAME OF VOTE 14]</v>
      </c>
      <c r="B36" s="1187"/>
      <c r="C36" s="1512">
        <f>A3A!C316</f>
        <v>0</v>
      </c>
      <c r="D36" s="1512">
        <f>A3A!D316</f>
        <v>0</v>
      </c>
      <c r="E36" s="1513">
        <f>A3A!E316</f>
        <v>0</v>
      </c>
      <c r="F36" s="1514">
        <f>A3A!F316</f>
        <v>0</v>
      </c>
      <c r="G36" s="1472">
        <f>A3A!G316</f>
        <v>0</v>
      </c>
      <c r="H36" s="1513">
        <f>A3A!H316</f>
        <v>0</v>
      </c>
      <c r="I36" s="2152">
        <f>A3A!I316</f>
        <v>0</v>
      </c>
      <c r="J36" s="1472">
        <f>A3A!J316</f>
        <v>0</v>
      </c>
      <c r="K36" s="2159">
        <f>A3A!K316</f>
        <v>0</v>
      </c>
      <c r="L36" s="1513">
        <f>A3A!L317</f>
        <v>0</v>
      </c>
      <c r="M36" s="209"/>
      <c r="N36" s="209"/>
      <c r="O36" s="209"/>
      <c r="P36" s="209"/>
      <c r="Q36" s="209"/>
      <c r="R36" s="209"/>
      <c r="S36" s="209"/>
      <c r="T36" s="209"/>
      <c r="U36" s="209"/>
      <c r="V36" s="209"/>
      <c r="W36" s="209"/>
      <c r="X36" s="370"/>
    </row>
    <row r="37" spans="1:24" ht="11.25" customHeight="1" x14ac:dyDescent="0.25">
      <c r="A37" s="1208" t="str">
        <f>A3A!A327</f>
        <v>Vote 15 - [NAME OF VOTE 15]</v>
      </c>
      <c r="B37" s="1187"/>
      <c r="C37" s="1512">
        <f>A3A!C327</f>
        <v>0</v>
      </c>
      <c r="D37" s="1512">
        <f>A3A!D327</f>
        <v>0</v>
      </c>
      <c r="E37" s="1513">
        <f>A3A!E327</f>
        <v>0</v>
      </c>
      <c r="F37" s="1514">
        <f>A3A!F327</f>
        <v>0</v>
      </c>
      <c r="G37" s="1472">
        <f>A3A!G327</f>
        <v>0</v>
      </c>
      <c r="H37" s="1513">
        <f>A3A!H327</f>
        <v>0</v>
      </c>
      <c r="I37" s="2152">
        <f>A3A!I327</f>
        <v>0</v>
      </c>
      <c r="J37" s="1472">
        <f>A3A!J327</f>
        <v>0</v>
      </c>
      <c r="K37" s="2159">
        <f>A3A!K327</f>
        <v>0</v>
      </c>
      <c r="L37" s="1513">
        <f>A3A!L328</f>
        <v>0</v>
      </c>
      <c r="M37" s="209"/>
      <c r="N37" s="209"/>
      <c r="O37" s="209"/>
      <c r="P37" s="209"/>
      <c r="Q37" s="209"/>
      <c r="R37" s="209"/>
      <c r="S37" s="209"/>
      <c r="T37" s="209"/>
      <c r="U37" s="209"/>
      <c r="V37" s="209"/>
      <c r="W37" s="209"/>
      <c r="X37" s="370"/>
    </row>
    <row r="38" spans="1:24" ht="11.25" customHeight="1" x14ac:dyDescent="0.25">
      <c r="A38" s="1367" t="s">
        <v>179</v>
      </c>
      <c r="B38" s="1366">
        <v>2</v>
      </c>
      <c r="C38" s="1373">
        <f>SUM(C23:C37)</f>
        <v>2807100182</v>
      </c>
      <c r="D38" s="1373">
        <f t="shared" ref="D38:K38" si="1">SUM(D23:D37)</f>
        <v>2807201317</v>
      </c>
      <c r="E38" s="1374">
        <f t="shared" si="1"/>
        <v>2653096170</v>
      </c>
      <c r="F38" s="1375">
        <f t="shared" si="1"/>
        <v>2982646286</v>
      </c>
      <c r="G38" s="1373">
        <f t="shared" si="1"/>
        <v>3129238207</v>
      </c>
      <c r="H38" s="1376">
        <f t="shared" si="1"/>
        <v>3129238207</v>
      </c>
      <c r="I38" s="1377">
        <f t="shared" si="1"/>
        <v>3473827694.0636907</v>
      </c>
      <c r="J38" s="1373">
        <f t="shared" si="1"/>
        <v>3657992447.4549508</v>
      </c>
      <c r="K38" s="2153">
        <f t="shared" si="1"/>
        <v>4003496848.0402536</v>
      </c>
      <c r="L38" s="199">
        <f t="shared" ref="L38:W38" si="2">SUM(L23:L29)</f>
        <v>0</v>
      </c>
      <c r="M38" s="200">
        <f t="shared" si="2"/>
        <v>0</v>
      </c>
      <c r="N38" s="200">
        <f t="shared" si="2"/>
        <v>0</v>
      </c>
      <c r="O38" s="200">
        <f t="shared" si="2"/>
        <v>0</v>
      </c>
      <c r="P38" s="200">
        <f t="shared" si="2"/>
        <v>0</v>
      </c>
      <c r="Q38" s="200">
        <f t="shared" si="2"/>
        <v>0</v>
      </c>
      <c r="R38" s="200">
        <f t="shared" si="2"/>
        <v>0</v>
      </c>
      <c r="S38" s="200">
        <f t="shared" si="2"/>
        <v>0</v>
      </c>
      <c r="T38" s="200">
        <f t="shared" si="2"/>
        <v>0</v>
      </c>
      <c r="U38" s="200">
        <f t="shared" si="2"/>
        <v>0</v>
      </c>
      <c r="V38" s="200">
        <f t="shared" si="2"/>
        <v>0</v>
      </c>
      <c r="W38" s="200">
        <f t="shared" si="2"/>
        <v>0</v>
      </c>
      <c r="X38" s="370"/>
    </row>
    <row r="39" spans="1:24" ht="11" thickBot="1" x14ac:dyDescent="0.3">
      <c r="A39" s="1226" t="str">
        <f>result</f>
        <v>Surplus/(Deficit) for the year</v>
      </c>
      <c r="B39" s="1191">
        <v>2</v>
      </c>
      <c r="C39" s="1152">
        <f t="shared" ref="C39:W39" si="3">C20-C38</f>
        <v>-231263993</v>
      </c>
      <c r="D39" s="1152">
        <f t="shared" si="3"/>
        <v>94778707</v>
      </c>
      <c r="E39" s="1227">
        <f t="shared" si="3"/>
        <v>234467958</v>
      </c>
      <c r="F39" s="1228">
        <f t="shared" si="3"/>
        <v>5144622.8607997894</v>
      </c>
      <c r="G39" s="1229">
        <f t="shared" si="3"/>
        <v>8792507.8607997894</v>
      </c>
      <c r="H39" s="1230">
        <f t="shared" si="3"/>
        <v>8792507.8607997894</v>
      </c>
      <c r="I39" s="1231">
        <f t="shared" si="3"/>
        <v>66585819.491739273</v>
      </c>
      <c r="J39" s="1229">
        <f t="shared" si="3"/>
        <v>64556903.757032871</v>
      </c>
      <c r="K39" s="2160">
        <f t="shared" si="3"/>
        <v>50000766.643229008</v>
      </c>
      <c r="L39" s="233">
        <f t="shared" si="3"/>
        <v>0</v>
      </c>
      <c r="M39" s="234">
        <f t="shared" si="3"/>
        <v>0</v>
      </c>
      <c r="N39" s="234">
        <f t="shared" si="3"/>
        <v>0</v>
      </c>
      <c r="O39" s="234">
        <f t="shared" si="3"/>
        <v>0</v>
      </c>
      <c r="P39" s="234">
        <f t="shared" si="3"/>
        <v>0</v>
      </c>
      <c r="Q39" s="234">
        <f t="shared" si="3"/>
        <v>0</v>
      </c>
      <c r="R39" s="234">
        <f t="shared" si="3"/>
        <v>0</v>
      </c>
      <c r="S39" s="234">
        <f t="shared" si="3"/>
        <v>0</v>
      </c>
      <c r="T39" s="234">
        <f t="shared" si="3"/>
        <v>0</v>
      </c>
      <c r="U39" s="234">
        <f t="shared" si="3"/>
        <v>0</v>
      </c>
      <c r="V39" s="234">
        <f t="shared" si="3"/>
        <v>0</v>
      </c>
      <c r="W39" s="234">
        <f t="shared" si="3"/>
        <v>0</v>
      </c>
      <c r="X39" s="370"/>
    </row>
    <row r="40" spans="1:24" s="709" customFormat="1" ht="11.25" customHeight="1" thickTop="1" x14ac:dyDescent="0.25">
      <c r="A40" s="1232" t="str">
        <f>head27a</f>
        <v>References</v>
      </c>
      <c r="B40" s="1233"/>
      <c r="C40" s="1158"/>
      <c r="D40" s="1234"/>
      <c r="E40" s="1235"/>
      <c r="F40" s="1235"/>
      <c r="G40" s="1235"/>
      <c r="H40" s="1235"/>
      <c r="I40" s="1235"/>
      <c r="J40" s="1235"/>
      <c r="K40" s="1235"/>
    </row>
    <row r="41" spans="1:24" s="709" customFormat="1" ht="11.25" customHeight="1" x14ac:dyDescent="0.25">
      <c r="A41" s="1197" t="s">
        <v>189</v>
      </c>
      <c r="B41" s="1233"/>
      <c r="C41" s="1236"/>
      <c r="D41" s="1236"/>
      <c r="E41" s="1237"/>
      <c r="F41" s="1237"/>
      <c r="G41" s="1237"/>
      <c r="H41" s="1237"/>
      <c r="I41" s="1237"/>
      <c r="J41" s="1237"/>
      <c r="K41" s="1237"/>
    </row>
    <row r="42" spans="1:24" s="709" customFormat="1" ht="11.25" customHeight="1" x14ac:dyDescent="0.25">
      <c r="A42" s="1238" t="s">
        <v>188</v>
      </c>
      <c r="B42" s="1233"/>
      <c r="C42" s="1236"/>
      <c r="D42" s="1236"/>
      <c r="E42" s="1237"/>
      <c r="F42" s="1237"/>
      <c r="G42" s="1237"/>
      <c r="H42" s="1237"/>
      <c r="I42" s="1237"/>
      <c r="J42" s="1237"/>
      <c r="K42" s="1237"/>
    </row>
    <row r="43" spans="1:24" s="709" customFormat="1" ht="11.25" customHeight="1" x14ac:dyDescent="0.25">
      <c r="A43" s="1238" t="s">
        <v>436</v>
      </c>
      <c r="B43" s="1193"/>
      <c r="C43" s="1239"/>
      <c r="D43" s="1239"/>
      <c r="E43" s="1240"/>
      <c r="F43" s="1240"/>
      <c r="G43" s="1240"/>
      <c r="H43" s="1240"/>
      <c r="I43" s="1240"/>
      <c r="J43" s="1240"/>
      <c r="K43" s="1240"/>
    </row>
    <row r="44" spans="1:24" ht="11.25" customHeight="1" x14ac:dyDescent="0.25">
      <c r="A44" s="1194"/>
      <c r="B44" s="704"/>
      <c r="C44" s="707"/>
      <c r="D44" s="707"/>
      <c r="E44" s="707"/>
      <c r="F44" s="707"/>
      <c r="G44" s="707"/>
      <c r="H44" s="707"/>
      <c r="I44" s="707"/>
      <c r="J44" s="707"/>
      <c r="K44" s="707"/>
    </row>
    <row r="45" spans="1:24" ht="11.25" customHeight="1" x14ac:dyDescent="0.25">
      <c r="A45" s="1239" t="str">
        <f>"check "&amp;A39</f>
        <v>check Surplus/(Deficit) for the year</v>
      </c>
      <c r="B45" s="704"/>
      <c r="C45" s="1240">
        <f>C39-A3A!C340</f>
        <v>0</v>
      </c>
      <c r="D45" s="1240">
        <f>D39-A3A!D340</f>
        <v>0</v>
      </c>
      <c r="E45" s="1240">
        <f>E39-A3A!E340</f>
        <v>0</v>
      </c>
      <c r="F45" s="1240">
        <f>F39-A3A!F340</f>
        <v>0</v>
      </c>
      <c r="G45" s="1240">
        <f>G39-A3A!G340</f>
        <v>0</v>
      </c>
      <c r="H45" s="1240">
        <f>H39-A3A!H340</f>
        <v>0</v>
      </c>
      <c r="I45" s="1240">
        <f>I39-A3A!I340</f>
        <v>0</v>
      </c>
      <c r="J45" s="1240">
        <f>J39-A3A!J340</f>
        <v>0</v>
      </c>
      <c r="K45" s="1240">
        <f>K39-A3A!K340</f>
        <v>0</v>
      </c>
    </row>
    <row r="46" spans="1:24" ht="11.25" customHeight="1" x14ac:dyDescent="0.25">
      <c r="A46" s="244"/>
      <c r="C46" s="245"/>
      <c r="D46" s="245"/>
      <c r="E46" s="245"/>
      <c r="F46" s="245"/>
      <c r="G46" s="245"/>
      <c r="H46" s="245"/>
      <c r="I46" s="245"/>
      <c r="J46" s="245"/>
      <c r="K46" s="245"/>
    </row>
    <row r="47" spans="1:24" ht="11.25" customHeight="1" x14ac:dyDescent="0.25">
      <c r="A47" s="246"/>
    </row>
    <row r="48" spans="1:24" ht="11.25" customHeight="1" x14ac:dyDescent="0.25">
      <c r="A48" s="246"/>
    </row>
    <row r="49" spans="3:11" ht="11.25" customHeight="1" x14ac:dyDescent="0.25">
      <c r="C49" s="362"/>
      <c r="D49" s="362"/>
      <c r="E49" s="362"/>
      <c r="F49" s="362"/>
      <c r="G49" s="362"/>
      <c r="H49" s="362"/>
      <c r="I49" s="362"/>
      <c r="J49" s="362"/>
      <c r="K49" s="362"/>
    </row>
    <row r="50" spans="3:11" ht="11.25" customHeight="1" x14ac:dyDescent="0.25"/>
    <row r="51" spans="3:11" ht="11.25" customHeight="1" x14ac:dyDescent="0.25"/>
    <row r="52" spans="3:11" ht="11.25" customHeight="1" x14ac:dyDescent="0.25"/>
    <row r="53" spans="3:11" ht="11.25" customHeight="1" x14ac:dyDescent="0.25"/>
    <row r="54" spans="3:11" ht="11.25" customHeight="1" x14ac:dyDescent="0.25"/>
    <row r="55" spans="3:11" ht="11.25" customHeight="1" x14ac:dyDescent="0.25"/>
    <row r="56" spans="3:11" ht="11.25" customHeight="1" x14ac:dyDescent="0.25"/>
    <row r="57" spans="3:11" ht="11.25" customHeight="1" x14ac:dyDescent="0.25"/>
    <row r="58" spans="3:11" ht="11.25" customHeight="1" x14ac:dyDescent="0.25"/>
    <row r="59" spans="3:11" ht="11.25" customHeight="1" x14ac:dyDescent="0.25"/>
    <row r="60" spans="3:11" ht="11.25" customHeight="1" x14ac:dyDescent="0.25"/>
    <row r="61" spans="3:11" ht="11.25" customHeight="1" x14ac:dyDescent="0.25"/>
    <row r="62" spans="3:11" ht="11.25" customHeight="1" x14ac:dyDescent="0.25"/>
    <row r="63" spans="3:11" ht="11.25" customHeight="1" x14ac:dyDescent="0.25"/>
    <row r="64" spans="3: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sheetProtection password="C646" sheet="1" objects="1" scenarios="1"/>
  <mergeCells count="3">
    <mergeCell ref="F2:H2"/>
    <mergeCell ref="I2:K2"/>
    <mergeCell ref="L2:W2"/>
  </mergeCells>
  <phoneticPr fontId="2" type="noConversion"/>
  <printOptions horizontalCentered="1"/>
  <pageMargins left="0.34" right="0" top="0.78740157480314965" bottom="0.59055118110236227" header="0.51181102362204722" footer="0.39370078740157483"/>
  <pageSetup paperSize="9"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4"/>
  </sheetPr>
  <dimension ref="A1:W379"/>
  <sheetViews>
    <sheetView showGridLines="0" showZeros="0" view="pageBreakPreview" zoomScaleNormal="100" zoomScaleSheetLayoutView="100" workbookViewId="0">
      <pane xSplit="2" ySplit="3" topLeftCell="C201" activePane="bottomRight" state="frozen"/>
      <selection pane="topRight"/>
      <selection pane="bottomLeft"/>
      <selection pane="bottomRight" activeCell="E188" sqref="E188"/>
    </sheetView>
  </sheetViews>
  <sheetFormatPr defaultColWidth="9.1796875" defaultRowHeight="10.5" x14ac:dyDescent="0.25"/>
  <cols>
    <col min="1" max="1" width="30.7265625" style="149" customWidth="1"/>
    <col min="2" max="2" width="3" style="1048" customWidth="1"/>
    <col min="3" max="10" width="9.26953125" style="149" customWidth="1"/>
    <col min="11" max="11" width="11.7265625" style="149" customWidth="1"/>
    <col min="12" max="23" width="9.1796875" style="149" hidden="1" customWidth="1"/>
    <col min="24" max="16384" width="9.1796875" style="149"/>
  </cols>
  <sheetData>
    <row r="1" spans="1:23" s="179" customFormat="1" ht="13" x14ac:dyDescent="0.3">
      <c r="A1" s="1121" t="str">
        <f>muni&amp;" - "&amp;Approve2&amp;"A"</f>
        <v>KZN225 Msunduzi - Table A3 Consolidated Budgeted Financial Performance (revenue and expenditure by municipal vote)A</v>
      </c>
      <c r="B1" s="1121"/>
      <c r="C1" s="1121"/>
      <c r="D1" s="1121"/>
      <c r="E1" s="1121"/>
      <c r="F1" s="1121"/>
      <c r="G1" s="1121"/>
      <c r="H1" s="1121"/>
      <c r="I1" s="1121"/>
      <c r="J1" s="1121"/>
      <c r="K1" s="1121"/>
    </row>
    <row r="2" spans="1:23" ht="28.5" customHeight="1" x14ac:dyDescent="0.25">
      <c r="A2" s="1198" t="str">
        <f>Vdesc</f>
        <v>Vote Description</v>
      </c>
      <c r="B2" s="1199" t="str">
        <f>head27</f>
        <v>Ref</v>
      </c>
      <c r="C2" s="1123" t="str">
        <f>head1b</f>
        <v>2009/10</v>
      </c>
      <c r="D2" s="1123" t="str">
        <f>head1A</f>
        <v>2010/11</v>
      </c>
      <c r="E2" s="1124" t="str">
        <f>Head1</f>
        <v>2011/12</v>
      </c>
      <c r="F2" s="2683" t="str">
        <f>Head2</f>
        <v>Current Year 2012/13</v>
      </c>
      <c r="G2" s="2684"/>
      <c r="H2" s="2684"/>
      <c r="I2" s="2685" t="str">
        <f>Head3</f>
        <v>2013/14 Medium Term Revenue &amp; Expenditure Framework</v>
      </c>
      <c r="J2" s="2686"/>
      <c r="K2" s="2687"/>
      <c r="L2" s="2688" t="str">
        <f>Head4</f>
        <v>LTFS</v>
      </c>
      <c r="M2" s="2689"/>
      <c r="N2" s="2689"/>
      <c r="O2" s="2689"/>
      <c r="P2" s="2689"/>
      <c r="Q2" s="2689"/>
      <c r="R2" s="2689"/>
      <c r="S2" s="2689"/>
      <c r="T2" s="2689"/>
      <c r="U2" s="2689"/>
      <c r="V2" s="2689"/>
      <c r="W2" s="2690"/>
    </row>
    <row r="3" spans="1:23" ht="21" x14ac:dyDescent="0.25">
      <c r="A3" s="1200" t="s">
        <v>665</v>
      </c>
      <c r="B3" s="1201"/>
      <c r="C3" s="1125" t="str">
        <f>Head5</f>
        <v>Audited Outcome</v>
      </c>
      <c r="D3" s="1125" t="str">
        <f>Head5</f>
        <v>Audited Outcome</v>
      </c>
      <c r="E3" s="1126" t="str">
        <f>Head5</f>
        <v>Audited Outcome</v>
      </c>
      <c r="F3" s="1127" t="str">
        <f>Head6</f>
        <v>Original Budget</v>
      </c>
      <c r="G3" s="1125" t="str">
        <f>Head7</f>
        <v>Adjusted Budget</v>
      </c>
      <c r="H3" s="1126" t="str">
        <f>Head8</f>
        <v>Full Year Forecast</v>
      </c>
      <c r="I3" s="1127" t="str">
        <f>Head9</f>
        <v>Budget Year 2013/14</v>
      </c>
      <c r="J3" s="1125" t="str">
        <f>Head10</f>
        <v>Budget Year +1 2014/15</v>
      </c>
      <c r="K3" s="1126" t="str">
        <f>Head11</f>
        <v>Budget Year +2 2015/16</v>
      </c>
      <c r="L3" s="1548" t="str">
        <f>Head12</f>
        <v>Forecast 2016/17</v>
      </c>
      <c r="M3" s="1549" t="str">
        <f>Head13</f>
        <v>Forecast 2017/18</v>
      </c>
      <c r="N3" s="1549" t="str">
        <f>Head14</f>
        <v>Forecast 2018/19</v>
      </c>
      <c r="O3" s="1549" t="str">
        <f>Head15</f>
        <v>Forecast 2019/20</v>
      </c>
      <c r="P3" s="1549" t="str">
        <f>Head16</f>
        <v>Forecast 2020/21</v>
      </c>
      <c r="Q3" s="1549" t="str">
        <f>Head17</f>
        <v>Forecast 2021/22</v>
      </c>
      <c r="R3" s="1549" t="str">
        <f>Head18</f>
        <v>Forecast 2022/23</v>
      </c>
      <c r="S3" s="1549" t="str">
        <f>Head19</f>
        <v>Forecast 2023/24</v>
      </c>
      <c r="T3" s="1549" t="str">
        <f>Head20</f>
        <v>Forecast 2024/25</v>
      </c>
      <c r="U3" s="1549" t="str">
        <f>Head21</f>
        <v>Forecast 2025/26</v>
      </c>
      <c r="V3" s="1549" t="str">
        <f>Head22</f>
        <v>Forecast 2026/27</v>
      </c>
      <c r="W3" s="1549" t="str">
        <f>Head23</f>
        <v>Forecast 2027/28</v>
      </c>
    </row>
    <row r="4" spans="1:23" ht="11.25" customHeight="1" x14ac:dyDescent="0.25">
      <c r="A4" s="1202" t="s">
        <v>1367</v>
      </c>
      <c r="B4" s="1187">
        <v>1</v>
      </c>
      <c r="C4" s="1203"/>
      <c r="D4" s="1203"/>
      <c r="E4" s="1204"/>
      <c r="F4" s="1205"/>
      <c r="G4" s="1203"/>
      <c r="H4" s="1206"/>
      <c r="I4" s="1207"/>
      <c r="J4" s="1203"/>
      <c r="K4" s="1204"/>
      <c r="L4" s="188"/>
      <c r="M4" s="189"/>
      <c r="N4" s="189"/>
      <c r="O4" s="189"/>
      <c r="P4" s="189"/>
      <c r="Q4" s="189"/>
      <c r="R4" s="189"/>
      <c r="S4" s="189"/>
      <c r="T4" s="189"/>
      <c r="U4" s="189"/>
      <c r="V4" s="189"/>
      <c r="W4" s="189"/>
    </row>
    <row r="5" spans="1:23" ht="15" customHeight="1" x14ac:dyDescent="0.25">
      <c r="A5" s="1168" t="str">
        <f>'Org structure'!A2</f>
        <v xml:space="preserve">Vote 1 - Corporate Services </v>
      </c>
      <c r="B5" s="1057"/>
      <c r="C5" s="976">
        <f>SUM(C6:C15)</f>
        <v>15487148</v>
      </c>
      <c r="D5" s="976">
        <f t="shared" ref="D5:K5" si="0">SUM(D6:D15)</f>
        <v>8268080</v>
      </c>
      <c r="E5" s="977">
        <f t="shared" si="0"/>
        <v>20175447</v>
      </c>
      <c r="F5" s="978">
        <f t="shared" si="0"/>
        <v>2920226</v>
      </c>
      <c r="G5" s="976">
        <f t="shared" si="0"/>
        <v>24846916</v>
      </c>
      <c r="H5" s="979">
        <f t="shared" si="0"/>
        <v>24846916</v>
      </c>
      <c r="I5" s="980">
        <f t="shared" si="0"/>
        <v>24112273.33272526</v>
      </c>
      <c r="J5" s="976">
        <f t="shared" si="0"/>
        <v>24459221.921070322</v>
      </c>
      <c r="K5" s="977">
        <f t="shared" si="0"/>
        <v>23050170.512609292</v>
      </c>
      <c r="L5" s="188"/>
      <c r="M5" s="189"/>
      <c r="N5" s="189"/>
      <c r="O5" s="189"/>
      <c r="P5" s="189"/>
      <c r="Q5" s="189"/>
      <c r="R5" s="189"/>
      <c r="S5" s="189"/>
      <c r="T5" s="189"/>
      <c r="U5" s="189"/>
      <c r="V5" s="189"/>
      <c r="W5" s="189"/>
    </row>
    <row r="6" spans="1:23" ht="11.25" customHeight="1" x14ac:dyDescent="0.25">
      <c r="A6" s="1169" t="str">
        <f>'Org structure'!E3</f>
        <v>1.1 - Council and Committee Support</v>
      </c>
      <c r="B6" s="1046"/>
      <c r="C6" s="1627">
        <v>475053</v>
      </c>
      <c r="D6" s="1627">
        <v>44419</v>
      </c>
      <c r="E6" s="1628">
        <v>336053</v>
      </c>
      <c r="F6" s="1629">
        <v>0</v>
      </c>
      <c r="G6" s="2609">
        <f>[4]B3B!$I$8</f>
        <v>555000</v>
      </c>
      <c r="H6" s="1627">
        <f>G6</f>
        <v>555000</v>
      </c>
      <c r="I6" s="1627">
        <v>559626.9271243423</v>
      </c>
      <c r="J6" s="1628">
        <v>567679.33137865865</v>
      </c>
      <c r="K6" s="1628">
        <v>534976.35480750899</v>
      </c>
      <c r="L6" s="188"/>
      <c r="M6" s="189"/>
      <c r="N6" s="189"/>
      <c r="O6" s="189"/>
      <c r="P6" s="189"/>
      <c r="Q6" s="189"/>
      <c r="R6" s="189"/>
      <c r="S6" s="189"/>
      <c r="T6" s="189"/>
      <c r="U6" s="189"/>
      <c r="V6" s="189"/>
      <c r="W6" s="189"/>
    </row>
    <row r="7" spans="1:23" ht="11.25" customHeight="1" x14ac:dyDescent="0.25">
      <c r="A7" s="1169" t="str">
        <f>'Org structure'!E4</f>
        <v>1.2 - Enterprise  Wide Risk Management &amp; Audit and Compliance</v>
      </c>
      <c r="B7" s="1046"/>
      <c r="C7" s="1627">
        <v>0</v>
      </c>
      <c r="D7" s="1627">
        <v>5259</v>
      </c>
      <c r="E7" s="1628"/>
      <c r="F7" s="1629">
        <v>0</v>
      </c>
      <c r="G7" s="2608"/>
      <c r="H7" s="1627"/>
      <c r="I7" s="1627"/>
      <c r="J7" s="1628"/>
      <c r="K7" s="1628"/>
      <c r="L7" s="188"/>
      <c r="M7" s="189"/>
      <c r="N7" s="189"/>
      <c r="O7" s="189"/>
      <c r="P7" s="189"/>
      <c r="Q7" s="189"/>
      <c r="R7" s="189"/>
      <c r="S7" s="189"/>
      <c r="T7" s="189"/>
      <c r="U7" s="189"/>
      <c r="V7" s="189"/>
      <c r="W7" s="189"/>
    </row>
    <row r="8" spans="1:23" ht="11.25" customHeight="1" x14ac:dyDescent="0.25">
      <c r="A8" s="1169" t="str">
        <f>'Org structure'!E5</f>
        <v>1.3 - Human Resources Management</v>
      </c>
      <c r="B8" s="1046"/>
      <c r="C8" s="1627">
        <v>13245245</v>
      </c>
      <c r="D8" s="1627">
        <v>1074783</v>
      </c>
      <c r="E8" s="1628">
        <f>3147967</f>
        <v>3147967</v>
      </c>
      <c r="F8" s="1629">
        <v>2762628</v>
      </c>
      <c r="G8" s="2608">
        <f>F8+[4]B3B!$I$10</f>
        <v>3063633</v>
      </c>
      <c r="H8" s="1627">
        <f>G8</f>
        <v>3063633</v>
      </c>
      <c r="I8" s="1627">
        <v>3089173.9128409554</v>
      </c>
      <c r="J8" s="1628">
        <v>3133623.6631163862</v>
      </c>
      <c r="K8" s="1627">
        <v>2953101.2879423304</v>
      </c>
      <c r="L8" s="188"/>
      <c r="M8" s="189"/>
      <c r="N8" s="189"/>
      <c r="O8" s="189"/>
      <c r="P8" s="189"/>
      <c r="Q8" s="189"/>
      <c r="R8" s="189"/>
      <c r="S8" s="189"/>
      <c r="T8" s="189"/>
      <c r="U8" s="189"/>
      <c r="V8" s="189"/>
      <c r="W8" s="189"/>
    </row>
    <row r="9" spans="1:23" ht="11.25" customHeight="1" x14ac:dyDescent="0.25">
      <c r="A9" s="1169" t="str">
        <f>'Org structure'!E6</f>
        <v>1.4 - Legislative Compliance</v>
      </c>
      <c r="B9" s="1046"/>
      <c r="C9" s="1627">
        <v>22032</v>
      </c>
      <c r="D9" s="1627">
        <v>728720</v>
      </c>
      <c r="E9" s="1628">
        <f>33380+11984</f>
        <v>45364</v>
      </c>
      <c r="F9" s="1629">
        <v>11178</v>
      </c>
      <c r="G9" s="2608">
        <f>F9+[4]B3B!$I$11</f>
        <v>545824</v>
      </c>
      <c r="H9" s="1627">
        <f>G9</f>
        <v>545824</v>
      </c>
      <c r="I9" s="1627">
        <v>550374.42859588645</v>
      </c>
      <c r="J9" s="1628">
        <v>558293.69976653147</v>
      </c>
      <c r="K9" s="1628">
        <v>526131.41240802477</v>
      </c>
      <c r="L9" s="188"/>
      <c r="M9" s="189"/>
      <c r="N9" s="189"/>
      <c r="O9" s="189"/>
      <c r="P9" s="189"/>
      <c r="Q9" s="189"/>
      <c r="R9" s="189"/>
      <c r="S9" s="189"/>
      <c r="T9" s="189"/>
      <c r="U9" s="189"/>
      <c r="V9" s="189"/>
      <c r="W9" s="189"/>
    </row>
    <row r="10" spans="1:23" ht="11.25" customHeight="1" x14ac:dyDescent="0.25">
      <c r="A10" s="1169" t="str">
        <f>'Org structure'!E7</f>
        <v>1.5 - Local Economic Development Management</v>
      </c>
      <c r="B10" s="1046"/>
      <c r="C10" s="1627">
        <v>976318</v>
      </c>
      <c r="D10" s="1627">
        <v>5856733</v>
      </c>
      <c r="E10" s="1628">
        <f>212839+16263739</f>
        <v>16476578</v>
      </c>
      <c r="F10" s="1629">
        <v>0</v>
      </c>
      <c r="G10" s="2608">
        <f>[4]B3B!$I$12</f>
        <v>19636638</v>
      </c>
      <c r="H10" s="1627">
        <f>G10</f>
        <v>19636638</v>
      </c>
      <c r="I10" s="1628">
        <v>19800344.834221784</v>
      </c>
      <c r="J10" s="1628">
        <v>20085249.604260828</v>
      </c>
      <c r="K10" s="1628">
        <v>18928174.807053357</v>
      </c>
      <c r="L10" s="188"/>
      <c r="M10" s="189"/>
      <c r="N10" s="189"/>
      <c r="O10" s="189"/>
      <c r="P10" s="189"/>
      <c r="Q10" s="189"/>
      <c r="R10" s="189"/>
      <c r="S10" s="189"/>
      <c r="T10" s="189"/>
      <c r="U10" s="189"/>
      <c r="V10" s="189"/>
      <c r="W10" s="189"/>
    </row>
    <row r="11" spans="1:23" ht="11.25" customHeight="1" x14ac:dyDescent="0.25">
      <c r="A11" s="1169" t="str">
        <f>'Org structure'!E8</f>
        <v>1.6 - Management Information Services</v>
      </c>
      <c r="B11" s="1046"/>
      <c r="C11" s="1627">
        <v>756507</v>
      </c>
      <c r="D11" s="1627">
        <v>14435</v>
      </c>
      <c r="E11" s="1628">
        <f>9299</f>
        <v>9299</v>
      </c>
      <c r="F11" s="1629">
        <v>11652</v>
      </c>
      <c r="G11" s="2608">
        <f>8028+934000</f>
        <v>942028</v>
      </c>
      <c r="H11" s="1627">
        <f>G11</f>
        <v>942028</v>
      </c>
      <c r="I11" s="1628">
        <v>8094.9278755931891</v>
      </c>
      <c r="J11" s="1628">
        <v>8211.4048149691389</v>
      </c>
      <c r="K11" s="1628">
        <v>7738.3606781886165</v>
      </c>
      <c r="L11" s="188"/>
      <c r="M11" s="189"/>
      <c r="N11" s="189"/>
      <c r="O11" s="189"/>
      <c r="P11" s="189"/>
      <c r="Q11" s="189"/>
      <c r="R11" s="189"/>
      <c r="S11" s="189"/>
      <c r="T11" s="189"/>
      <c r="U11" s="189"/>
      <c r="V11" s="189"/>
      <c r="W11" s="189"/>
    </row>
    <row r="12" spans="1:23" ht="11.25" customHeight="1" x14ac:dyDescent="0.25">
      <c r="A12" s="1169" t="str">
        <f>'Org structure'!E9</f>
        <v>1.7 - Marketing and Public Relations Management</v>
      </c>
      <c r="B12" s="1046"/>
      <c r="C12" s="1627">
        <v>11993</v>
      </c>
      <c r="D12" s="1627">
        <v>543731</v>
      </c>
      <c r="E12" s="1628">
        <f>1710+158476</f>
        <v>160186</v>
      </c>
      <c r="F12" s="1629">
        <v>134768</v>
      </c>
      <c r="G12" s="2608">
        <f>F12+[4]B3B!$I$14</f>
        <v>103793</v>
      </c>
      <c r="H12" s="1627">
        <f>G12</f>
        <v>103793</v>
      </c>
      <c r="I12" s="1627">
        <v>104658.30206669706</v>
      </c>
      <c r="J12" s="1628">
        <v>106164.21773294617</v>
      </c>
      <c r="K12" s="1628">
        <v>100048.2897198843</v>
      </c>
      <c r="L12" s="188"/>
      <c r="M12" s="189"/>
      <c r="N12" s="189"/>
      <c r="O12" s="189"/>
      <c r="P12" s="189"/>
      <c r="Q12" s="189"/>
      <c r="R12" s="189"/>
      <c r="S12" s="189"/>
      <c r="T12" s="189"/>
      <c r="U12" s="189"/>
      <c r="V12" s="189"/>
      <c r="W12" s="189"/>
    </row>
    <row r="13" spans="1:23" ht="11.25" hidden="1" customHeight="1" x14ac:dyDescent="0.25">
      <c r="A13" s="1169">
        <f>'Org structure'!E10</f>
        <v>0</v>
      </c>
      <c r="B13" s="1046"/>
      <c r="C13" s="1627"/>
      <c r="D13" s="1627"/>
      <c r="E13" s="1628"/>
      <c r="F13" s="1629"/>
      <c r="G13" s="1627"/>
      <c r="H13" s="1630"/>
      <c r="I13" s="1631"/>
      <c r="J13" s="1627"/>
      <c r="K13" s="1628"/>
      <c r="L13" s="188"/>
      <c r="M13" s="189"/>
      <c r="N13" s="189"/>
      <c r="O13" s="189"/>
      <c r="P13" s="189"/>
      <c r="Q13" s="189"/>
      <c r="R13" s="189"/>
      <c r="S13" s="189"/>
      <c r="T13" s="189"/>
      <c r="U13" s="189"/>
      <c r="V13" s="189"/>
      <c r="W13" s="189"/>
    </row>
    <row r="14" spans="1:23" ht="11.25" hidden="1" customHeight="1" x14ac:dyDescent="0.25">
      <c r="A14" s="1169">
        <f>'Org structure'!E11</f>
        <v>0</v>
      </c>
      <c r="B14" s="1046"/>
      <c r="C14" s="1627"/>
      <c r="D14" s="1627"/>
      <c r="E14" s="1628"/>
      <c r="F14" s="1629"/>
      <c r="G14" s="1627"/>
      <c r="H14" s="1630"/>
      <c r="I14" s="1631"/>
      <c r="J14" s="1627"/>
      <c r="K14" s="1628"/>
      <c r="L14" s="188"/>
      <c r="M14" s="189"/>
      <c r="N14" s="189"/>
      <c r="O14" s="189"/>
      <c r="P14" s="189"/>
      <c r="Q14" s="189"/>
      <c r="R14" s="189"/>
      <c r="S14" s="189"/>
      <c r="T14" s="189"/>
      <c r="U14" s="189"/>
      <c r="V14" s="189"/>
      <c r="W14" s="189"/>
    </row>
    <row r="15" spans="1:23" ht="11.25" customHeight="1" x14ac:dyDescent="0.25">
      <c r="A15" s="1169">
        <f>'Org structure'!E12</f>
        <v>0</v>
      </c>
      <c r="B15" s="1046"/>
      <c r="C15" s="1627"/>
      <c r="D15" s="1627"/>
      <c r="E15" s="1628"/>
      <c r="F15" s="1629"/>
      <c r="G15" s="1627"/>
      <c r="H15" s="1630"/>
      <c r="I15" s="1631"/>
      <c r="J15" s="1627"/>
      <c r="K15" s="1628"/>
      <c r="L15" s="188"/>
      <c r="M15" s="189"/>
      <c r="N15" s="189"/>
      <c r="O15" s="189"/>
      <c r="P15" s="189"/>
      <c r="Q15" s="189"/>
      <c r="R15" s="189"/>
      <c r="S15" s="189"/>
      <c r="T15" s="189"/>
      <c r="U15" s="189"/>
      <c r="V15" s="189"/>
      <c r="W15" s="189"/>
    </row>
    <row r="16" spans="1:23" ht="15" customHeight="1" x14ac:dyDescent="0.25">
      <c r="A16" s="1168" t="str">
        <f>'Org structure'!A3</f>
        <v>Vote 2 - Financial Management Area</v>
      </c>
      <c r="B16" s="1057"/>
      <c r="C16" s="976">
        <f>SUM(C17:C26)</f>
        <v>961194955</v>
      </c>
      <c r="D16" s="976">
        <f t="shared" ref="D16:K16" si="1">SUM(D17:D26)</f>
        <v>1006712046</v>
      </c>
      <c r="E16" s="977">
        <f t="shared" si="1"/>
        <v>1112256762</v>
      </c>
      <c r="F16" s="978">
        <f t="shared" si="1"/>
        <v>643042274.86080003</v>
      </c>
      <c r="G16" s="976">
        <f t="shared" si="1"/>
        <v>853881905.86080003</v>
      </c>
      <c r="H16" s="979">
        <f t="shared" si="1"/>
        <v>853881905.86080003</v>
      </c>
      <c r="I16" s="980">
        <f t="shared" si="1"/>
        <v>948138091.7840209</v>
      </c>
      <c r="J16" s="976">
        <f t="shared" si="1"/>
        <v>934649990.67843556</v>
      </c>
      <c r="K16" s="977">
        <f t="shared" si="1"/>
        <v>1032208660.3938439</v>
      </c>
      <c r="L16" s="188"/>
      <c r="M16" s="189"/>
      <c r="N16" s="189"/>
      <c r="O16" s="189"/>
      <c r="P16" s="189"/>
      <c r="Q16" s="189"/>
      <c r="R16" s="189"/>
      <c r="S16" s="189"/>
      <c r="T16" s="189"/>
      <c r="U16" s="189"/>
      <c r="V16" s="189"/>
      <c r="W16" s="189"/>
    </row>
    <row r="17" spans="1:23" ht="11.25" customHeight="1" x14ac:dyDescent="0.25">
      <c r="A17" s="1169" t="str">
        <f>'Org structure'!E14</f>
        <v>2.1 - Budget &amp; Treasury Management</v>
      </c>
      <c r="B17" s="1046"/>
      <c r="C17" s="1627">
        <f>16106+69666750</f>
        <v>69682856</v>
      </c>
      <c r="D17" s="1627">
        <v>409</v>
      </c>
      <c r="E17" s="1628">
        <v>254</v>
      </c>
      <c r="F17" s="1629">
        <v>239</v>
      </c>
      <c r="G17" s="2608">
        <v>0</v>
      </c>
      <c r="H17" s="1627">
        <v>0</v>
      </c>
      <c r="I17" s="1627"/>
      <c r="J17" s="1628"/>
      <c r="K17" s="1627"/>
      <c r="L17" s="188"/>
      <c r="M17" s="189"/>
      <c r="N17" s="189"/>
      <c r="O17" s="189"/>
      <c r="P17" s="189"/>
      <c r="Q17" s="189"/>
      <c r="R17" s="189"/>
      <c r="S17" s="189"/>
      <c r="T17" s="189"/>
      <c r="U17" s="189"/>
      <c r="V17" s="189"/>
      <c r="W17" s="189"/>
    </row>
    <row r="18" spans="1:23" ht="11.25" customHeight="1" x14ac:dyDescent="0.25">
      <c r="A18" s="1169" t="str">
        <f>'Org structure'!E15</f>
        <v>2.2 - Expenditure Management</v>
      </c>
      <c r="B18" s="1046"/>
      <c r="C18" s="1627">
        <v>769010</v>
      </c>
      <c r="D18" s="1627">
        <v>629913</v>
      </c>
      <c r="E18" s="1628">
        <v>600757</v>
      </c>
      <c r="F18" s="1629">
        <v>311039</v>
      </c>
      <c r="G18" s="2608">
        <f>F18+[4]B3B!$I$20</f>
        <v>309598</v>
      </c>
      <c r="H18" s="2608">
        <f>G18</f>
        <v>309598</v>
      </c>
      <c r="I18" s="1627">
        <v>312179.05834926513</v>
      </c>
      <c r="J18" s="1628">
        <v>316670.96511021623</v>
      </c>
      <c r="K18" s="1627">
        <v>298428.12521746883</v>
      </c>
      <c r="L18" s="188"/>
      <c r="M18" s="189"/>
      <c r="N18" s="189"/>
      <c r="O18" s="189"/>
      <c r="P18" s="189"/>
      <c r="Q18" s="189"/>
      <c r="R18" s="189"/>
      <c r="S18" s="189"/>
      <c r="T18" s="189"/>
      <c r="U18" s="189"/>
      <c r="V18" s="189"/>
      <c r="W18" s="189"/>
    </row>
    <row r="19" spans="1:23" ht="11.25" customHeight="1" x14ac:dyDescent="0.25">
      <c r="A19" s="1169" t="str">
        <f>'Org structure'!E16</f>
        <v>2.3 - Financial Control and Cash Management</v>
      </c>
      <c r="B19" s="1046"/>
      <c r="C19" s="1627">
        <v>1218764</v>
      </c>
      <c r="D19" s="1627">
        <v>506275</v>
      </c>
      <c r="E19" s="1628">
        <f>154+2323318</f>
        <v>2323472</v>
      </c>
      <c r="F19" s="1629">
        <v>2619013</v>
      </c>
      <c r="G19" s="2608">
        <f>F19+[4]B3B!$I$21</f>
        <v>1813713</v>
      </c>
      <c r="H19" s="2608">
        <f>G19</f>
        <v>1813713</v>
      </c>
      <c r="I19" s="1627">
        <v>1828833.5727485986</v>
      </c>
      <c r="J19" s="1628">
        <v>1855148.4381131192</v>
      </c>
      <c r="K19" s="1627">
        <v>1748276.7016342189</v>
      </c>
      <c r="L19" s="188"/>
      <c r="M19" s="189"/>
      <c r="N19" s="189"/>
      <c r="O19" s="189"/>
      <c r="P19" s="189"/>
      <c r="Q19" s="189"/>
      <c r="R19" s="189"/>
      <c r="S19" s="189"/>
      <c r="T19" s="189"/>
      <c r="U19" s="189"/>
      <c r="V19" s="189"/>
      <c r="W19" s="189"/>
    </row>
    <row r="20" spans="1:23" ht="11.25" customHeight="1" x14ac:dyDescent="0.25">
      <c r="A20" s="1169" t="str">
        <f>'Org structure'!E17</f>
        <v>2.4 - Revenue Management</v>
      </c>
      <c r="B20" s="1046"/>
      <c r="C20" s="1627">
        <v>889491276</v>
      </c>
      <c r="D20" s="1627">
        <v>1005363715</v>
      </c>
      <c r="E20" s="1628">
        <v>1109064290</v>
      </c>
      <c r="F20" s="1629">
        <v>639824968</v>
      </c>
      <c r="G20" s="2608">
        <f>639825000+[5]B3B!$I$22</f>
        <v>851470267</v>
      </c>
      <c r="H20" s="2608">
        <f>G20</f>
        <v>851470267</v>
      </c>
      <c r="I20" s="1627">
        <f>1229137347.55879-5792000-1000000-203206000-73433000</f>
        <v>945706347.55878997</v>
      </c>
      <c r="J20" s="1628">
        <f>1246823256.37929-245339000-69301000</f>
        <v>932183256.3792901</v>
      </c>
      <c r="K20" s="1627">
        <f>1174996030.18328+184949000-330061000</f>
        <v>1029884030.18328</v>
      </c>
      <c r="L20" s="188"/>
      <c r="M20" s="189"/>
      <c r="N20" s="189"/>
      <c r="O20" s="189"/>
      <c r="P20" s="189"/>
      <c r="Q20" s="189"/>
      <c r="R20" s="189"/>
      <c r="S20" s="189"/>
      <c r="T20" s="189"/>
      <c r="U20" s="189"/>
      <c r="V20" s="189"/>
      <c r="W20" s="189"/>
    </row>
    <row r="21" spans="1:23" ht="11.25" customHeight="1" x14ac:dyDescent="0.25">
      <c r="A21" s="1169" t="str">
        <f>'Org structure'!E18</f>
        <v>2.5 - Supply Chain Management</v>
      </c>
      <c r="B21" s="1046"/>
      <c r="C21" s="1627">
        <v>33049</v>
      </c>
      <c r="D21" s="1627">
        <v>211734</v>
      </c>
      <c r="E21" s="1628">
        <f>75+267914</f>
        <v>267989</v>
      </c>
      <c r="F21" s="1629">
        <v>287015.86080000002</v>
      </c>
      <c r="G21" s="2608">
        <f>F21+[4]B3B!$I$23+1000</f>
        <v>288327.86080000002</v>
      </c>
      <c r="H21" s="2608">
        <f>G21</f>
        <v>288327.86080000002</v>
      </c>
      <c r="I21" s="1627">
        <v>290731.59413304349</v>
      </c>
      <c r="J21" s="1628">
        <v>294914.89592213155</v>
      </c>
      <c r="K21" s="1627">
        <v>277925.38371212775</v>
      </c>
      <c r="L21" s="188"/>
      <c r="M21" s="189"/>
      <c r="N21" s="189"/>
      <c r="O21" s="189"/>
      <c r="P21" s="189"/>
      <c r="Q21" s="189"/>
      <c r="R21" s="189"/>
      <c r="S21" s="189"/>
      <c r="T21" s="189"/>
      <c r="U21" s="189"/>
      <c r="V21" s="189"/>
      <c r="W21" s="189"/>
    </row>
    <row r="22" spans="1:23" ht="11.25" hidden="1" customHeight="1" x14ac:dyDescent="0.25">
      <c r="A22" s="1169">
        <f>'Org structure'!E19</f>
        <v>0</v>
      </c>
      <c r="B22" s="1046"/>
      <c r="C22" s="1627"/>
      <c r="D22" s="1627"/>
      <c r="E22" s="1628"/>
      <c r="F22" s="1629"/>
      <c r="G22" s="1627"/>
      <c r="H22" s="1630"/>
      <c r="I22" s="1627"/>
      <c r="J22" s="1628"/>
      <c r="K22" s="1627"/>
      <c r="L22" s="188"/>
      <c r="M22" s="189"/>
      <c r="N22" s="189"/>
      <c r="O22" s="189"/>
      <c r="P22" s="189"/>
      <c r="Q22" s="189"/>
      <c r="R22" s="189"/>
      <c r="S22" s="189"/>
      <c r="T22" s="189"/>
      <c r="U22" s="189"/>
      <c r="V22" s="189"/>
      <c r="W22" s="189"/>
    </row>
    <row r="23" spans="1:23" ht="11.25" hidden="1" customHeight="1" x14ac:dyDescent="0.25">
      <c r="A23" s="1169">
        <f>'Org structure'!E20</f>
        <v>0</v>
      </c>
      <c r="B23" s="1046"/>
      <c r="C23" s="1627"/>
      <c r="D23" s="1627"/>
      <c r="E23" s="1628"/>
      <c r="F23" s="1629"/>
      <c r="G23" s="1627"/>
      <c r="H23" s="1630"/>
      <c r="I23" s="1627"/>
      <c r="J23" s="1628"/>
      <c r="K23" s="1627"/>
      <c r="L23" s="188"/>
      <c r="M23" s="189"/>
      <c r="N23" s="189"/>
      <c r="O23" s="189"/>
      <c r="P23" s="189"/>
      <c r="Q23" s="189"/>
      <c r="R23" s="189"/>
      <c r="S23" s="189"/>
      <c r="T23" s="189"/>
      <c r="U23" s="189"/>
      <c r="V23" s="189"/>
      <c r="W23" s="189"/>
    </row>
    <row r="24" spans="1:23" ht="11.25" hidden="1" customHeight="1" x14ac:dyDescent="0.25">
      <c r="A24" s="1169">
        <f>'Org structure'!E21</f>
        <v>0</v>
      </c>
      <c r="B24" s="1046"/>
      <c r="C24" s="1627"/>
      <c r="D24" s="1627"/>
      <c r="E24" s="1628"/>
      <c r="F24" s="1629"/>
      <c r="G24" s="1627"/>
      <c r="H24" s="1630"/>
      <c r="I24" s="1627"/>
      <c r="J24" s="1628"/>
      <c r="K24" s="1627"/>
      <c r="L24" s="188"/>
      <c r="M24" s="189"/>
      <c r="N24" s="189"/>
      <c r="O24" s="189"/>
      <c r="P24" s="189"/>
      <c r="Q24" s="189"/>
      <c r="R24" s="189"/>
      <c r="S24" s="189"/>
      <c r="T24" s="189"/>
      <c r="U24" s="189"/>
      <c r="V24" s="189"/>
      <c r="W24" s="189"/>
    </row>
    <row r="25" spans="1:23" ht="11.25" hidden="1" customHeight="1" x14ac:dyDescent="0.25">
      <c r="A25" s="1169">
        <f>'Org structure'!E22</f>
        <v>0</v>
      </c>
      <c r="B25" s="1046"/>
      <c r="C25" s="1627"/>
      <c r="D25" s="1627"/>
      <c r="E25" s="1628"/>
      <c r="F25" s="1629"/>
      <c r="G25" s="1627"/>
      <c r="H25" s="1630"/>
      <c r="I25" s="1627"/>
      <c r="J25" s="1628"/>
      <c r="K25" s="1627"/>
      <c r="L25" s="188"/>
      <c r="M25" s="189"/>
      <c r="N25" s="189"/>
      <c r="O25" s="189"/>
      <c r="P25" s="189"/>
      <c r="Q25" s="189"/>
      <c r="R25" s="189"/>
      <c r="S25" s="189"/>
      <c r="T25" s="189"/>
      <c r="U25" s="189"/>
      <c r="V25" s="189"/>
      <c r="W25" s="189"/>
    </row>
    <row r="26" spans="1:23" ht="11.25" customHeight="1" x14ac:dyDescent="0.25">
      <c r="A26" s="1169">
        <f>'Org structure'!E23</f>
        <v>0</v>
      </c>
      <c r="B26" s="1046"/>
      <c r="C26" s="1627"/>
      <c r="D26" s="1627"/>
      <c r="E26" s="1628"/>
      <c r="F26" s="1629"/>
      <c r="G26" s="1627"/>
      <c r="H26" s="1630"/>
      <c r="I26" s="1627"/>
      <c r="J26" s="1628"/>
      <c r="K26" s="1627"/>
      <c r="L26" s="188"/>
      <c r="M26" s="189"/>
      <c r="N26" s="189"/>
      <c r="O26" s="189"/>
      <c r="P26" s="189"/>
      <c r="Q26" s="189"/>
      <c r="R26" s="189"/>
      <c r="S26" s="189"/>
      <c r="T26" s="189"/>
      <c r="U26" s="189"/>
      <c r="V26" s="189"/>
      <c r="W26" s="189"/>
    </row>
    <row r="27" spans="1:23" ht="15" customHeight="1" x14ac:dyDescent="0.25">
      <c r="A27" s="1168" t="str">
        <f>'Org structure'!A4</f>
        <v>Vote 3 - Infrastructure Development, Service Delivery and Maintenance Management</v>
      </c>
      <c r="B27" s="1057"/>
      <c r="C27" s="976">
        <f t="shared" ref="C27:K27" si="2">SUM(C28:C37)</f>
        <v>1548538412</v>
      </c>
      <c r="D27" s="976">
        <f t="shared" si="2"/>
        <v>1810650474</v>
      </c>
      <c r="E27" s="977">
        <f t="shared" si="2"/>
        <v>1680967195</v>
      </c>
      <c r="F27" s="978">
        <f t="shared" si="2"/>
        <v>2298991058</v>
      </c>
      <c r="G27" s="976">
        <f t="shared" si="2"/>
        <v>2201635837</v>
      </c>
      <c r="H27" s="979">
        <f t="shared" si="2"/>
        <v>2201635837</v>
      </c>
      <c r="I27" s="980">
        <f t="shared" si="2"/>
        <v>2509630148.7418394</v>
      </c>
      <c r="J27" s="976">
        <f t="shared" si="2"/>
        <v>2704064914.6534824</v>
      </c>
      <c r="K27" s="977">
        <f t="shared" si="2"/>
        <v>2942284058.7700081</v>
      </c>
      <c r="L27" s="188"/>
      <c r="M27" s="189"/>
      <c r="N27" s="189"/>
      <c r="O27" s="189"/>
      <c r="P27" s="189"/>
      <c r="Q27" s="189"/>
      <c r="R27" s="189"/>
      <c r="S27" s="189"/>
      <c r="T27" s="189"/>
      <c r="U27" s="189"/>
      <c r="V27" s="189"/>
      <c r="W27" s="189"/>
    </row>
    <row r="28" spans="1:23" ht="11.25" customHeight="1" x14ac:dyDescent="0.35">
      <c r="A28" s="1169" t="str">
        <f>'Org structure'!E25</f>
        <v>3.1 - Electricity distribution Management</v>
      </c>
      <c r="B28" s="1046"/>
      <c r="C28" s="1627">
        <v>945462701</v>
      </c>
      <c r="D28" s="1627">
        <f>1068823385-261000</f>
        <v>1068562385</v>
      </c>
      <c r="E28" s="1628">
        <f>1261723273-438942000</f>
        <v>822781273</v>
      </c>
      <c r="F28" s="1629">
        <v>1557309036</v>
      </c>
      <c r="G28" s="2609">
        <f>F28+[4]B3B!$I$30</f>
        <v>1445548565</v>
      </c>
      <c r="H28" s="2609">
        <f t="shared" ref="H28:H33" si="3">G28</f>
        <v>1445548565</v>
      </c>
      <c r="I28" s="1672">
        <f>1640104707-1000000-41000000+207477000+60604000</f>
        <v>1866185707</v>
      </c>
      <c r="J28" s="1673">
        <f>1836918000</f>
        <v>1836918000</v>
      </c>
      <c r="K28" s="2605">
        <f>2057348000+184590000-267201000+3000000-81364000</f>
        <v>1896373000</v>
      </c>
      <c r="L28" s="188"/>
      <c r="M28" s="189"/>
      <c r="N28" s="189"/>
      <c r="O28" s="189"/>
      <c r="P28" s="189"/>
      <c r="Q28" s="189"/>
      <c r="R28" s="189"/>
      <c r="S28" s="189"/>
      <c r="T28" s="189"/>
      <c r="U28" s="189"/>
      <c r="V28" s="189"/>
      <c r="W28" s="189"/>
    </row>
    <row r="29" spans="1:23" ht="11.25" customHeight="1" x14ac:dyDescent="0.25">
      <c r="A29" s="1169" t="str">
        <f>'Org structure'!E26</f>
        <v>3.2 - Human Settlement Development Management</v>
      </c>
      <c r="B29" s="1046"/>
      <c r="C29" s="1627">
        <v>58044015</v>
      </c>
      <c r="D29" s="1627">
        <v>3991087</v>
      </c>
      <c r="E29" s="1628">
        <f>2560+3613653+85+3384432+1077</f>
        <v>7001807</v>
      </c>
      <c r="F29" s="1629">
        <v>14123253</v>
      </c>
      <c r="G29" s="2609">
        <f>F29+[4]B3B!$I$31</f>
        <v>3591742</v>
      </c>
      <c r="H29" s="2609">
        <f t="shared" si="3"/>
        <v>3591742</v>
      </c>
      <c r="I29" s="1627">
        <v>3621685.6549251159</v>
      </c>
      <c r="J29" s="1628">
        <v>3673797.6523326961</v>
      </c>
      <c r="K29" s="1628">
        <f>3462156.83345772+1868170</f>
        <v>5330326.8334577195</v>
      </c>
      <c r="L29" s="188"/>
      <c r="M29" s="189"/>
      <c r="N29" s="189"/>
      <c r="O29" s="189"/>
      <c r="P29" s="189"/>
      <c r="Q29" s="189"/>
      <c r="R29" s="189"/>
      <c r="S29" s="189"/>
      <c r="T29" s="189"/>
      <c r="U29" s="189"/>
      <c r="V29" s="189"/>
      <c r="W29" s="189"/>
    </row>
    <row r="30" spans="1:23" ht="11.25" customHeight="1" x14ac:dyDescent="0.25">
      <c r="A30" s="1169" t="str">
        <f>'Org structure'!E27</f>
        <v>3.3 - Municipal Infrastructure Planning, Funding, Maintenance and Development Management</v>
      </c>
      <c r="B30" s="1046"/>
      <c r="C30" s="1627">
        <v>13813087</v>
      </c>
      <c r="D30" s="1627">
        <v>11373882</v>
      </c>
      <c r="E30" s="1628">
        <v>8705482</v>
      </c>
      <c r="F30" s="1629">
        <v>9960525</v>
      </c>
      <c r="G30" s="2608">
        <f>F30+[4]B3B!$I$32</f>
        <v>10149855</v>
      </c>
      <c r="H30" s="2608">
        <f t="shared" si="3"/>
        <v>10149855</v>
      </c>
      <c r="I30" s="1627">
        <v>10234472.368302057</v>
      </c>
      <c r="J30" s="1628">
        <v>10381734.954937542</v>
      </c>
      <c r="K30" s="1628">
        <v>9783662.0355401263</v>
      </c>
      <c r="L30" s="188"/>
      <c r="M30" s="189"/>
      <c r="N30" s="189"/>
      <c r="O30" s="189"/>
      <c r="P30" s="189"/>
      <c r="Q30" s="189"/>
      <c r="R30" s="189"/>
      <c r="S30" s="189"/>
      <c r="T30" s="189"/>
      <c r="U30" s="189"/>
      <c r="V30" s="189"/>
      <c r="W30" s="189"/>
    </row>
    <row r="31" spans="1:23" ht="11.25" customHeight="1" x14ac:dyDescent="0.25">
      <c r="A31" s="1169" t="str">
        <f>'Org structure'!E28</f>
        <v>3.4 - Roads and Stormwater</v>
      </c>
      <c r="B31" s="1046"/>
      <c r="C31" s="1627">
        <v>13807838</v>
      </c>
      <c r="D31" s="1627">
        <v>33596135</v>
      </c>
      <c r="E31" s="1628">
        <v>73812453</v>
      </c>
      <c r="F31" s="1629">
        <v>6176026</v>
      </c>
      <c r="G31" s="2608">
        <f>F31+[5]B3B!$I$33</f>
        <v>58099460</v>
      </c>
      <c r="H31" s="2608">
        <f t="shared" si="3"/>
        <v>58099460</v>
      </c>
      <c r="I31" s="1627">
        <v>66305749.846324101</v>
      </c>
      <c r="J31" s="1628">
        <v>67259815.271466792</v>
      </c>
      <c r="K31" s="1628">
        <v>63385099.315786809</v>
      </c>
      <c r="L31" s="188"/>
      <c r="M31" s="189"/>
      <c r="N31" s="189"/>
      <c r="O31" s="189"/>
      <c r="P31" s="189"/>
      <c r="Q31" s="189"/>
      <c r="R31" s="189"/>
      <c r="S31" s="189"/>
      <c r="T31" s="189"/>
      <c r="U31" s="189"/>
      <c r="V31" s="189"/>
      <c r="W31" s="189"/>
    </row>
    <row r="32" spans="1:23" ht="11.25" customHeight="1" x14ac:dyDescent="0.25">
      <c r="A32" s="1169" t="str">
        <f>'Org structure'!E29</f>
        <v>3.5 - Waste Management</v>
      </c>
      <c r="B32" s="1046"/>
      <c r="C32" s="1627">
        <v>65559236</v>
      </c>
      <c r="D32" s="1627">
        <v>81348558</v>
      </c>
      <c r="E32" s="1628">
        <f>84643455+12509045</f>
        <v>97152500</v>
      </c>
      <c r="F32" s="1629">
        <v>138744053</v>
      </c>
      <c r="G32" s="2608">
        <f>138744000+[5]B3B!$I$34</f>
        <v>85831904</v>
      </c>
      <c r="H32" s="2608">
        <f t="shared" si="3"/>
        <v>85831904</v>
      </c>
      <c r="I32" s="1627">
        <v>89182382.049010903</v>
      </c>
      <c r="J32" s="1628">
        <v>90465616.571537673</v>
      </c>
      <c r="K32" s="1628">
        <f>85254056.4958015+20000000</f>
        <v>105254056.49580149</v>
      </c>
      <c r="L32" s="188"/>
      <c r="M32" s="189"/>
      <c r="N32" s="189"/>
      <c r="O32" s="189"/>
      <c r="P32" s="189"/>
      <c r="Q32" s="189"/>
      <c r="R32" s="189"/>
      <c r="S32" s="189"/>
      <c r="T32" s="189"/>
      <c r="U32" s="189"/>
      <c r="V32" s="189"/>
      <c r="W32" s="189"/>
    </row>
    <row r="33" spans="1:23" ht="11.25" customHeight="1" x14ac:dyDescent="0.25">
      <c r="A33" s="1169" t="str">
        <f>'Org structure'!E30</f>
        <v>3.6 - Water Distribution and Sanitation Management</v>
      </c>
      <c r="B33" s="1046"/>
      <c r="C33" s="1627">
        <v>451851535</v>
      </c>
      <c r="D33" s="1627">
        <v>611778427</v>
      </c>
      <c r="E33" s="1628">
        <f>671513680</f>
        <v>671513680</v>
      </c>
      <c r="F33" s="1629">
        <v>572678165</v>
      </c>
      <c r="G33" s="2609">
        <f>F33+[5]B3B!$I$35</f>
        <v>598414311</v>
      </c>
      <c r="H33" s="2609">
        <f t="shared" si="3"/>
        <v>598414311</v>
      </c>
      <c r="I33" s="1627">
        <f>639577151.823277-165477000</f>
        <v>474100151.823277</v>
      </c>
      <c r="J33" s="1628">
        <f>648779950.203208+130753000-87011000+72145000-69301000</f>
        <v>695365950.20320797</v>
      </c>
      <c r="K33" s="1628">
        <f>611404914.089422+130753000+120000000</f>
        <v>862157914.08942199</v>
      </c>
      <c r="L33" s="188"/>
      <c r="M33" s="189"/>
      <c r="N33" s="189"/>
      <c r="O33" s="189"/>
      <c r="P33" s="189"/>
      <c r="Q33" s="189"/>
      <c r="R33" s="189"/>
      <c r="S33" s="189"/>
      <c r="T33" s="189"/>
      <c r="U33" s="189"/>
      <c r="V33" s="189"/>
      <c r="W33" s="189"/>
    </row>
    <row r="34" spans="1:23" ht="11.25" hidden="1" customHeight="1" x14ac:dyDescent="0.25">
      <c r="A34" s="1169">
        <f>'Org structure'!E31</f>
        <v>0</v>
      </c>
      <c r="B34" s="1046"/>
      <c r="C34" s="1627"/>
      <c r="D34" s="1627"/>
      <c r="E34" s="1628"/>
      <c r="F34" s="1629"/>
      <c r="G34" s="1627"/>
      <c r="H34" s="1630"/>
      <c r="I34" s="1627"/>
      <c r="J34" s="1628"/>
      <c r="K34" s="1628"/>
      <c r="L34" s="188"/>
      <c r="M34" s="189"/>
      <c r="N34" s="189"/>
      <c r="O34" s="189"/>
      <c r="P34" s="189"/>
      <c r="Q34" s="189"/>
      <c r="R34" s="189"/>
      <c r="S34" s="189"/>
      <c r="T34" s="189"/>
      <c r="U34" s="189"/>
      <c r="V34" s="189"/>
      <c r="W34" s="189"/>
    </row>
    <row r="35" spans="1:23" ht="11.25" hidden="1" customHeight="1" x14ac:dyDescent="0.25">
      <c r="A35" s="1169">
        <f>'Org structure'!E32</f>
        <v>0</v>
      </c>
      <c r="B35" s="1046"/>
      <c r="C35" s="1627"/>
      <c r="D35" s="1627"/>
      <c r="E35" s="1628"/>
      <c r="F35" s="1629"/>
      <c r="G35" s="1627"/>
      <c r="H35" s="1630"/>
      <c r="I35" s="1627"/>
      <c r="J35" s="1628"/>
      <c r="K35" s="1628"/>
      <c r="L35" s="188"/>
      <c r="M35" s="189"/>
      <c r="N35" s="189"/>
      <c r="O35" s="189"/>
      <c r="P35" s="189"/>
      <c r="Q35" s="189"/>
      <c r="R35" s="189"/>
      <c r="S35" s="189"/>
      <c r="T35" s="189"/>
      <c r="U35" s="189"/>
      <c r="V35" s="189"/>
      <c r="W35" s="189"/>
    </row>
    <row r="36" spans="1:23" ht="11.25" hidden="1" customHeight="1" x14ac:dyDescent="0.25">
      <c r="A36" s="1169">
        <f>'Org structure'!E33</f>
        <v>0</v>
      </c>
      <c r="B36" s="1046"/>
      <c r="C36" s="1627"/>
      <c r="D36" s="1627"/>
      <c r="E36" s="1628"/>
      <c r="F36" s="1629"/>
      <c r="G36" s="1627"/>
      <c r="H36" s="1630"/>
      <c r="I36" s="1627"/>
      <c r="J36" s="1628"/>
      <c r="K36" s="1628"/>
      <c r="L36" s="188"/>
      <c r="M36" s="189"/>
      <c r="N36" s="189"/>
      <c r="O36" s="189"/>
      <c r="P36" s="189"/>
      <c r="Q36" s="189"/>
      <c r="R36" s="189"/>
      <c r="S36" s="189"/>
      <c r="T36" s="189"/>
      <c r="U36" s="189"/>
      <c r="V36" s="189"/>
      <c r="W36" s="189"/>
    </row>
    <row r="37" spans="1:23" ht="11.25" customHeight="1" x14ac:dyDescent="0.25">
      <c r="A37" s="1169">
        <f>'Org structure'!E34</f>
        <v>0</v>
      </c>
      <c r="B37" s="1046"/>
      <c r="C37" s="1627"/>
      <c r="D37" s="1627"/>
      <c r="E37" s="1628"/>
      <c r="F37" s="1629"/>
      <c r="G37" s="1627"/>
      <c r="H37" s="1630"/>
      <c r="I37" s="1627"/>
      <c r="J37" s="1628"/>
      <c r="K37" s="1628"/>
      <c r="L37" s="188"/>
      <c r="M37" s="189"/>
      <c r="N37" s="189"/>
      <c r="O37" s="189"/>
      <c r="P37" s="189"/>
      <c r="Q37" s="189"/>
      <c r="R37" s="189"/>
      <c r="S37" s="189"/>
      <c r="T37" s="189"/>
      <c r="U37" s="189"/>
      <c r="V37" s="189"/>
      <c r="W37" s="189"/>
    </row>
    <row r="38" spans="1:23" ht="15" customHeight="1" x14ac:dyDescent="0.25">
      <c r="A38" s="1168" t="str">
        <f>'Org structure'!A5</f>
        <v>Vote 4 - Sustainable Community Service Delivery Provision Management</v>
      </c>
      <c r="B38" s="1057"/>
      <c r="C38" s="976">
        <f t="shared" ref="C38:K38" si="4">SUM(C39:C48)</f>
        <v>50615674</v>
      </c>
      <c r="D38" s="976">
        <f t="shared" si="4"/>
        <v>76349424</v>
      </c>
      <c r="E38" s="977">
        <f t="shared" si="4"/>
        <v>74164724</v>
      </c>
      <c r="F38" s="978">
        <f t="shared" si="4"/>
        <v>42837350</v>
      </c>
      <c r="G38" s="976">
        <f t="shared" si="4"/>
        <v>57666056</v>
      </c>
      <c r="H38" s="979">
        <f t="shared" si="4"/>
        <v>57666056</v>
      </c>
      <c r="I38" s="980">
        <f t="shared" si="4"/>
        <v>58532999.696844801</v>
      </c>
      <c r="J38" s="976">
        <f t="shared" si="4"/>
        <v>59375223.958995156</v>
      </c>
      <c r="K38" s="977">
        <f t="shared" si="4"/>
        <v>55954725.007021546</v>
      </c>
      <c r="L38" s="188"/>
      <c r="M38" s="189"/>
      <c r="N38" s="189"/>
      <c r="O38" s="189"/>
      <c r="P38" s="189"/>
      <c r="Q38" s="189"/>
      <c r="R38" s="189"/>
      <c r="S38" s="189"/>
      <c r="T38" s="189"/>
      <c r="U38" s="189"/>
      <c r="V38" s="189"/>
      <c r="W38" s="189"/>
    </row>
    <row r="39" spans="1:23" ht="11.25" customHeight="1" x14ac:dyDescent="0.25">
      <c r="A39" s="1169" t="str">
        <f>'Org structure'!E36</f>
        <v>4.1 - Community Services Provision Management</v>
      </c>
      <c r="B39" s="1046"/>
      <c r="C39" s="1627">
        <v>32973275</v>
      </c>
      <c r="D39" s="1627">
        <v>36438701</v>
      </c>
      <c r="E39" s="1628">
        <v>37673896</v>
      </c>
      <c r="F39" s="1629">
        <v>29046617</v>
      </c>
      <c r="G39" s="2608">
        <f>F39+[5]B3B!$I$41</f>
        <v>20067940</v>
      </c>
      <c r="H39" s="2608">
        <f>G39</f>
        <v>20067940</v>
      </c>
      <c r="I39" s="1627">
        <v>20235242.515163377</v>
      </c>
      <c r="J39" s="1628">
        <v>20526404.975400072</v>
      </c>
      <c r="K39" s="1628">
        <v>19343916.017469913</v>
      </c>
      <c r="L39" s="188"/>
      <c r="M39" s="189"/>
      <c r="N39" s="189"/>
      <c r="O39" s="189"/>
      <c r="P39" s="189"/>
      <c r="Q39" s="189"/>
      <c r="R39" s="189"/>
      <c r="S39" s="189"/>
      <c r="T39" s="189"/>
      <c r="U39" s="189"/>
      <c r="V39" s="189"/>
      <c r="W39" s="189"/>
    </row>
    <row r="40" spans="1:23" ht="11.25" customHeight="1" x14ac:dyDescent="0.25">
      <c r="A40" s="1169" t="str">
        <f>'Org structure'!E37</f>
        <v>4.2 - Public Safety, Enforcement and Disaster Management</v>
      </c>
      <c r="B40" s="1046"/>
      <c r="C40" s="1627">
        <v>9652463</v>
      </c>
      <c r="D40" s="1627">
        <v>7817763</v>
      </c>
      <c r="E40" s="1628">
        <v>5998650</v>
      </c>
      <c r="F40" s="1629">
        <v>5616687</v>
      </c>
      <c r="G40" s="2609">
        <f>F40+[4]B3B!$I$42</f>
        <v>6044916</v>
      </c>
      <c r="H40" s="1627">
        <f>G40</f>
        <v>6044916</v>
      </c>
      <c r="I40" s="1627">
        <v>6095311.2897383254</v>
      </c>
      <c r="J40" s="1628">
        <v>6183015.9876038842</v>
      </c>
      <c r="K40" s="1628">
        <v>5826823.6518875454</v>
      </c>
      <c r="L40" s="188"/>
      <c r="M40" s="189"/>
      <c r="N40" s="189"/>
      <c r="O40" s="189"/>
      <c r="P40" s="189"/>
      <c r="Q40" s="189"/>
      <c r="R40" s="189"/>
      <c r="S40" s="189"/>
      <c r="T40" s="189"/>
      <c r="U40" s="189"/>
      <c r="V40" s="189"/>
      <c r="W40" s="189"/>
    </row>
    <row r="41" spans="1:23" ht="11.25" customHeight="1" x14ac:dyDescent="0.25">
      <c r="A41" s="1169" t="str">
        <f>'Org structure'!E38</f>
        <v>4.3 - Regional Community Services Provision Management</v>
      </c>
      <c r="B41" s="1046"/>
      <c r="C41" s="1627">
        <v>7989936</v>
      </c>
      <c r="D41" s="1627">
        <v>32092960</v>
      </c>
      <c r="E41" s="1628">
        <v>30492178</v>
      </c>
      <c r="F41" s="1629">
        <v>8174046</v>
      </c>
      <c r="G41" s="2608">
        <f>F41+[4]B3B!$I$43-383000</f>
        <v>31553200</v>
      </c>
      <c r="H41" s="2608">
        <f>G41</f>
        <v>31553200</v>
      </c>
      <c r="I41" s="1627">
        <v>32202445.891943097</v>
      </c>
      <c r="J41" s="1628">
        <v>32665802.9959912</v>
      </c>
      <c r="K41" s="1628">
        <v>30783985.337664086</v>
      </c>
      <c r="L41" s="188"/>
      <c r="M41" s="189"/>
      <c r="N41" s="189"/>
      <c r="O41" s="189"/>
      <c r="P41" s="189"/>
      <c r="Q41" s="189"/>
      <c r="R41" s="189"/>
      <c r="S41" s="189"/>
      <c r="T41" s="189"/>
      <c r="U41" s="189"/>
      <c r="V41" s="189"/>
      <c r="W41" s="189"/>
    </row>
    <row r="42" spans="1:23" ht="11.25" hidden="1" customHeight="1" x14ac:dyDescent="0.25">
      <c r="A42" s="1169">
        <f>'Org structure'!E39</f>
        <v>0</v>
      </c>
      <c r="B42" s="1046"/>
      <c r="C42" s="1627"/>
      <c r="D42" s="1627"/>
      <c r="E42" s="1628"/>
      <c r="F42" s="1629"/>
      <c r="G42" s="1627"/>
      <c r="H42" s="1630"/>
      <c r="I42" s="1631"/>
      <c r="J42" s="1627"/>
      <c r="K42" s="1628"/>
      <c r="L42" s="188"/>
      <c r="M42" s="189"/>
      <c r="N42" s="189"/>
      <c r="O42" s="189"/>
      <c r="P42" s="189"/>
      <c r="Q42" s="189"/>
      <c r="R42" s="189"/>
      <c r="S42" s="189"/>
      <c r="T42" s="189"/>
      <c r="U42" s="189"/>
      <c r="V42" s="189"/>
      <c r="W42" s="189"/>
    </row>
    <row r="43" spans="1:23" ht="11.25" hidden="1" customHeight="1" x14ac:dyDescent="0.25">
      <c r="A43" s="1169">
        <f>'Org structure'!E40</f>
        <v>0</v>
      </c>
      <c r="B43" s="1046"/>
      <c r="C43" s="1627"/>
      <c r="D43" s="1627"/>
      <c r="E43" s="1628"/>
      <c r="F43" s="1629"/>
      <c r="G43" s="1627"/>
      <c r="H43" s="1630"/>
      <c r="I43" s="1631"/>
      <c r="J43" s="1627"/>
      <c r="K43" s="1628"/>
      <c r="L43" s="188"/>
      <c r="M43" s="189"/>
      <c r="N43" s="189"/>
      <c r="O43" s="189"/>
      <c r="P43" s="189"/>
      <c r="Q43" s="189"/>
      <c r="R43" s="189"/>
      <c r="S43" s="189"/>
      <c r="T43" s="189"/>
      <c r="U43" s="189"/>
      <c r="V43" s="189"/>
      <c r="W43" s="189"/>
    </row>
    <row r="44" spans="1:23" ht="11.25" hidden="1" customHeight="1" x14ac:dyDescent="0.25">
      <c r="A44" s="1169">
        <f>'Org structure'!E41</f>
        <v>0</v>
      </c>
      <c r="B44" s="1046"/>
      <c r="C44" s="1627"/>
      <c r="D44" s="1627"/>
      <c r="E44" s="1628"/>
      <c r="F44" s="1629"/>
      <c r="G44" s="1627"/>
      <c r="H44" s="1630"/>
      <c r="I44" s="1631"/>
      <c r="J44" s="1627"/>
      <c r="K44" s="1628"/>
      <c r="L44" s="188"/>
      <c r="M44" s="189"/>
      <c r="N44" s="189"/>
      <c r="O44" s="189"/>
      <c r="P44" s="189"/>
      <c r="Q44" s="189"/>
      <c r="R44" s="189"/>
      <c r="S44" s="189"/>
      <c r="T44" s="189"/>
      <c r="U44" s="189"/>
      <c r="V44" s="189"/>
      <c r="W44" s="189"/>
    </row>
    <row r="45" spans="1:23" ht="11.25" hidden="1" customHeight="1" x14ac:dyDescent="0.25">
      <c r="A45" s="1169">
        <f>'Org structure'!E42</f>
        <v>0</v>
      </c>
      <c r="B45" s="1046"/>
      <c r="C45" s="1627"/>
      <c r="D45" s="1627"/>
      <c r="E45" s="1628"/>
      <c r="F45" s="1629"/>
      <c r="G45" s="1627"/>
      <c r="H45" s="1630"/>
      <c r="I45" s="1631"/>
      <c r="J45" s="1627"/>
      <c r="K45" s="1628"/>
      <c r="L45" s="188"/>
      <c r="M45" s="189"/>
      <c r="N45" s="189"/>
      <c r="O45" s="189"/>
      <c r="P45" s="189"/>
      <c r="Q45" s="189"/>
      <c r="R45" s="189"/>
      <c r="S45" s="189"/>
      <c r="T45" s="189"/>
      <c r="U45" s="189"/>
      <c r="V45" s="189"/>
      <c r="W45" s="189"/>
    </row>
    <row r="46" spans="1:23" ht="11.25" hidden="1" customHeight="1" x14ac:dyDescent="0.25">
      <c r="A46" s="1169">
        <f>'Org structure'!E43</f>
        <v>0</v>
      </c>
      <c r="B46" s="1046"/>
      <c r="C46" s="1627"/>
      <c r="D46" s="1627"/>
      <c r="E46" s="1628"/>
      <c r="F46" s="1629"/>
      <c r="G46" s="1627"/>
      <c r="H46" s="1630"/>
      <c r="I46" s="1631"/>
      <c r="J46" s="1627"/>
      <c r="K46" s="1628"/>
      <c r="L46" s="188"/>
      <c r="M46" s="189"/>
      <c r="N46" s="189"/>
      <c r="O46" s="189"/>
      <c r="P46" s="189"/>
      <c r="Q46" s="189"/>
      <c r="R46" s="189"/>
      <c r="S46" s="189"/>
      <c r="T46" s="189"/>
      <c r="U46" s="189"/>
      <c r="V46" s="189"/>
      <c r="W46" s="189"/>
    </row>
    <row r="47" spans="1:23" ht="11.25" hidden="1" customHeight="1" x14ac:dyDescent="0.25">
      <c r="A47" s="1169">
        <f>'Org structure'!E44</f>
        <v>0</v>
      </c>
      <c r="B47" s="1046"/>
      <c r="C47" s="1627"/>
      <c r="D47" s="1627"/>
      <c r="E47" s="1628"/>
      <c r="F47" s="1629"/>
      <c r="G47" s="1627"/>
      <c r="H47" s="1630"/>
      <c r="I47" s="1631"/>
      <c r="J47" s="1627"/>
      <c r="K47" s="1628"/>
      <c r="L47" s="188"/>
      <c r="M47" s="189"/>
      <c r="N47" s="189"/>
      <c r="O47" s="189"/>
      <c r="P47" s="189"/>
      <c r="Q47" s="189"/>
      <c r="R47" s="189"/>
      <c r="S47" s="189"/>
      <c r="T47" s="189"/>
      <c r="U47" s="189"/>
      <c r="V47" s="189"/>
      <c r="W47" s="189"/>
    </row>
    <row r="48" spans="1:23" ht="11.25" hidden="1" customHeight="1" x14ac:dyDescent="0.25">
      <c r="A48" s="1169">
        <f>'Org structure'!E45</f>
        <v>0</v>
      </c>
      <c r="B48" s="1046"/>
      <c r="C48" s="1627"/>
      <c r="D48" s="1627"/>
      <c r="E48" s="1628"/>
      <c r="F48" s="1629"/>
      <c r="G48" s="1627"/>
      <c r="H48" s="1630"/>
      <c r="I48" s="1631"/>
      <c r="J48" s="1627"/>
      <c r="K48" s="1628"/>
      <c r="L48" s="188"/>
      <c r="M48" s="189"/>
      <c r="N48" s="189"/>
      <c r="O48" s="189"/>
      <c r="P48" s="189"/>
      <c r="Q48" s="189"/>
      <c r="R48" s="189"/>
      <c r="S48" s="189"/>
      <c r="T48" s="189"/>
      <c r="U48" s="189"/>
      <c r="V48" s="189"/>
      <c r="W48" s="189"/>
    </row>
    <row r="49" spans="1:23" ht="15" hidden="1" customHeight="1" x14ac:dyDescent="0.25">
      <c r="A49" s="1168" t="str">
        <f>'Org structure'!A6</f>
        <v>Vote 5 - [NAME OF VOTE 5]</v>
      </c>
      <c r="B49" s="1057"/>
      <c r="C49" s="976">
        <f>SUM(C50:C59)</f>
        <v>0</v>
      </c>
      <c r="D49" s="976">
        <f t="shared" ref="D49:K49" si="5">SUM(D50:D59)</f>
        <v>0</v>
      </c>
      <c r="E49" s="977">
        <f t="shared" si="5"/>
        <v>0</v>
      </c>
      <c r="F49" s="978">
        <f t="shared" si="5"/>
        <v>0</v>
      </c>
      <c r="G49" s="976">
        <f t="shared" si="5"/>
        <v>0</v>
      </c>
      <c r="H49" s="979">
        <f t="shared" si="5"/>
        <v>0</v>
      </c>
      <c r="I49" s="980">
        <f t="shared" si="5"/>
        <v>0</v>
      </c>
      <c r="J49" s="976">
        <f t="shared" si="5"/>
        <v>0</v>
      </c>
      <c r="K49" s="977">
        <f t="shared" si="5"/>
        <v>0</v>
      </c>
      <c r="L49" s="188"/>
      <c r="M49" s="189"/>
      <c r="N49" s="189"/>
      <c r="O49" s="189"/>
      <c r="P49" s="189"/>
      <c r="Q49" s="189"/>
      <c r="R49" s="189"/>
      <c r="S49" s="189"/>
      <c r="T49" s="189"/>
      <c r="U49" s="189"/>
      <c r="V49" s="189"/>
      <c r="W49" s="189"/>
    </row>
    <row r="50" spans="1:23" ht="11.25" hidden="1" customHeight="1" x14ac:dyDescent="0.25">
      <c r="A50" s="1169" t="str">
        <f>'Org structure'!E47</f>
        <v>5.1 - [Name of sub-vote]</v>
      </c>
      <c r="B50" s="1046"/>
      <c r="C50" s="1627"/>
      <c r="D50" s="1627"/>
      <c r="E50" s="1628"/>
      <c r="F50" s="1629"/>
      <c r="G50" s="1627"/>
      <c r="H50" s="1630"/>
      <c r="I50" s="1631"/>
      <c r="J50" s="1627"/>
      <c r="K50" s="1628"/>
      <c r="L50" s="188"/>
      <c r="M50" s="189"/>
      <c r="N50" s="189"/>
      <c r="O50" s="189"/>
      <c r="P50" s="189"/>
      <c r="Q50" s="189"/>
      <c r="R50" s="189"/>
      <c r="S50" s="189"/>
      <c r="T50" s="189"/>
      <c r="U50" s="189"/>
      <c r="V50" s="189"/>
      <c r="W50" s="189"/>
    </row>
    <row r="51" spans="1:23" ht="11.25" hidden="1" customHeight="1" x14ac:dyDescent="0.25">
      <c r="A51" s="1169">
        <f>'Org structure'!E48</f>
        <v>0</v>
      </c>
      <c r="B51" s="1046"/>
      <c r="C51" s="1627"/>
      <c r="D51" s="1627"/>
      <c r="E51" s="1628"/>
      <c r="F51" s="1629"/>
      <c r="G51" s="1627"/>
      <c r="H51" s="1630"/>
      <c r="I51" s="1631"/>
      <c r="J51" s="1627"/>
      <c r="K51" s="1628"/>
      <c r="L51" s="188"/>
      <c r="M51" s="189"/>
      <c r="N51" s="189"/>
      <c r="O51" s="189"/>
      <c r="P51" s="189"/>
      <c r="Q51" s="189"/>
      <c r="R51" s="189"/>
      <c r="S51" s="189"/>
      <c r="T51" s="189"/>
      <c r="U51" s="189"/>
      <c r="V51" s="189"/>
      <c r="W51" s="189"/>
    </row>
    <row r="52" spans="1:23" ht="11.25" hidden="1" customHeight="1" x14ac:dyDescent="0.25">
      <c r="A52" s="1169">
        <f>'Org structure'!E49</f>
        <v>0</v>
      </c>
      <c r="B52" s="1046"/>
      <c r="C52" s="1627"/>
      <c r="D52" s="1627"/>
      <c r="E52" s="1628"/>
      <c r="F52" s="1629"/>
      <c r="G52" s="1627"/>
      <c r="H52" s="1630"/>
      <c r="I52" s="1631"/>
      <c r="J52" s="1627"/>
      <c r="K52" s="1628"/>
      <c r="L52" s="188"/>
      <c r="M52" s="189"/>
      <c r="N52" s="189"/>
      <c r="O52" s="189"/>
      <c r="P52" s="189"/>
      <c r="Q52" s="189"/>
      <c r="R52" s="189"/>
      <c r="S52" s="189"/>
      <c r="T52" s="189"/>
      <c r="U52" s="189"/>
      <c r="V52" s="189"/>
      <c r="W52" s="189"/>
    </row>
    <row r="53" spans="1:23" ht="11.25" hidden="1" customHeight="1" x14ac:dyDescent="0.25">
      <c r="A53" s="1169">
        <f>'Org structure'!E50</f>
        <v>0</v>
      </c>
      <c r="B53" s="1046"/>
      <c r="C53" s="1627"/>
      <c r="D53" s="1627"/>
      <c r="E53" s="1628"/>
      <c r="F53" s="1629"/>
      <c r="G53" s="1627"/>
      <c r="H53" s="1630"/>
      <c r="I53" s="1631"/>
      <c r="J53" s="1627"/>
      <c r="K53" s="1628"/>
      <c r="L53" s="188"/>
      <c r="M53" s="189"/>
      <c r="N53" s="189"/>
      <c r="O53" s="189"/>
      <c r="P53" s="189"/>
      <c r="Q53" s="189"/>
      <c r="R53" s="189"/>
      <c r="S53" s="189"/>
      <c r="T53" s="189"/>
      <c r="U53" s="189"/>
      <c r="V53" s="189"/>
      <c r="W53" s="189"/>
    </row>
    <row r="54" spans="1:23" ht="11.25" hidden="1" customHeight="1" x14ac:dyDescent="0.25">
      <c r="A54" s="1169">
        <f>'Org structure'!E51</f>
        <v>0</v>
      </c>
      <c r="B54" s="1046"/>
      <c r="C54" s="1627"/>
      <c r="D54" s="1627"/>
      <c r="E54" s="1628"/>
      <c r="F54" s="1629"/>
      <c r="G54" s="1627"/>
      <c r="H54" s="1630"/>
      <c r="I54" s="1631"/>
      <c r="J54" s="1627"/>
      <c r="K54" s="1628"/>
      <c r="L54" s="188"/>
      <c r="M54" s="189"/>
      <c r="N54" s="189"/>
      <c r="O54" s="189"/>
      <c r="P54" s="189"/>
      <c r="Q54" s="189"/>
      <c r="R54" s="189"/>
      <c r="S54" s="189"/>
      <c r="T54" s="189"/>
      <c r="U54" s="189"/>
      <c r="V54" s="189"/>
      <c r="W54" s="189"/>
    </row>
    <row r="55" spans="1:23" ht="11.25" hidden="1" customHeight="1" x14ac:dyDescent="0.25">
      <c r="A55" s="1169">
        <f>'Org structure'!E52</f>
        <v>0</v>
      </c>
      <c r="B55" s="1046"/>
      <c r="C55" s="1627"/>
      <c r="D55" s="1627"/>
      <c r="E55" s="1628"/>
      <c r="F55" s="1629"/>
      <c r="G55" s="1627"/>
      <c r="H55" s="1630"/>
      <c r="I55" s="1631"/>
      <c r="J55" s="1627"/>
      <c r="K55" s="1628"/>
      <c r="L55" s="188"/>
      <c r="M55" s="189"/>
      <c r="N55" s="189"/>
      <c r="O55" s="189"/>
      <c r="P55" s="189"/>
      <c r="Q55" s="189"/>
      <c r="R55" s="189"/>
      <c r="S55" s="189"/>
      <c r="T55" s="189"/>
      <c r="U55" s="189"/>
      <c r="V55" s="189"/>
      <c r="W55" s="189"/>
    </row>
    <row r="56" spans="1:23" ht="11.25" hidden="1" customHeight="1" x14ac:dyDescent="0.25">
      <c r="A56" s="1169">
        <f>'Org structure'!E53</f>
        <v>0</v>
      </c>
      <c r="B56" s="1046"/>
      <c r="C56" s="1627"/>
      <c r="D56" s="1627"/>
      <c r="E56" s="1628"/>
      <c r="F56" s="1629"/>
      <c r="G56" s="1627"/>
      <c r="H56" s="1630"/>
      <c r="I56" s="1631"/>
      <c r="J56" s="1627"/>
      <c r="K56" s="1628"/>
      <c r="L56" s="188"/>
      <c r="M56" s="189"/>
      <c r="N56" s="189"/>
      <c r="O56" s="189"/>
      <c r="P56" s="189"/>
      <c r="Q56" s="189"/>
      <c r="R56" s="189"/>
      <c r="S56" s="189"/>
      <c r="T56" s="189"/>
      <c r="U56" s="189"/>
      <c r="V56" s="189"/>
      <c r="W56" s="189"/>
    </row>
    <row r="57" spans="1:23" ht="11.25" hidden="1" customHeight="1" x14ac:dyDescent="0.25">
      <c r="A57" s="1169">
        <f>'Org structure'!E54</f>
        <v>0</v>
      </c>
      <c r="B57" s="1046"/>
      <c r="C57" s="1627"/>
      <c r="D57" s="1627"/>
      <c r="E57" s="1628"/>
      <c r="F57" s="1629"/>
      <c r="G57" s="1627"/>
      <c r="H57" s="1630"/>
      <c r="I57" s="1631"/>
      <c r="J57" s="1627"/>
      <c r="K57" s="1628"/>
      <c r="L57" s="188"/>
      <c r="M57" s="189"/>
      <c r="N57" s="189"/>
      <c r="O57" s="189"/>
      <c r="P57" s="189"/>
      <c r="Q57" s="189"/>
      <c r="R57" s="189"/>
      <c r="S57" s="189"/>
      <c r="T57" s="189"/>
      <c r="U57" s="189"/>
      <c r="V57" s="189"/>
      <c r="W57" s="189"/>
    </row>
    <row r="58" spans="1:23" ht="11.25" hidden="1" customHeight="1" x14ac:dyDescent="0.25">
      <c r="A58" s="1169">
        <f>'Org structure'!E55</f>
        <v>0</v>
      </c>
      <c r="B58" s="1046"/>
      <c r="C58" s="1627"/>
      <c r="D58" s="1627"/>
      <c r="E58" s="1628"/>
      <c r="F58" s="1629"/>
      <c r="G58" s="1627"/>
      <c r="H58" s="1630"/>
      <c r="I58" s="1631"/>
      <c r="J58" s="1627"/>
      <c r="K58" s="1628"/>
      <c r="L58" s="188"/>
      <c r="M58" s="189"/>
      <c r="N58" s="189"/>
      <c r="O58" s="189"/>
      <c r="P58" s="189"/>
      <c r="Q58" s="189"/>
      <c r="R58" s="189"/>
      <c r="S58" s="189"/>
      <c r="T58" s="189"/>
      <c r="U58" s="189"/>
      <c r="V58" s="189"/>
      <c r="W58" s="189"/>
    </row>
    <row r="59" spans="1:23" ht="11.25" hidden="1" customHeight="1" x14ac:dyDescent="0.25">
      <c r="A59" s="1169">
        <f>'Org structure'!E56</f>
        <v>0</v>
      </c>
      <c r="B59" s="1046"/>
      <c r="C59" s="1627"/>
      <c r="D59" s="1627"/>
      <c r="E59" s="1628"/>
      <c r="F59" s="1629"/>
      <c r="G59" s="1627"/>
      <c r="H59" s="1630"/>
      <c r="I59" s="1631"/>
      <c r="J59" s="1627"/>
      <c r="K59" s="1628"/>
      <c r="L59" s="188"/>
      <c r="M59" s="189"/>
      <c r="N59" s="189"/>
      <c r="O59" s="189"/>
      <c r="P59" s="189"/>
      <c r="Q59" s="189"/>
      <c r="R59" s="189"/>
      <c r="S59" s="189"/>
      <c r="T59" s="189"/>
      <c r="U59" s="189"/>
      <c r="V59" s="189"/>
      <c r="W59" s="189"/>
    </row>
    <row r="60" spans="1:23" ht="15" hidden="1" customHeight="1" x14ac:dyDescent="0.25">
      <c r="A60" s="1168" t="str">
        <f>'Org structure'!A7</f>
        <v>Vote 6 - [NAME OF VOTE 6]</v>
      </c>
      <c r="B60" s="1057"/>
      <c r="C60" s="976">
        <f>SUM(C61:C70)</f>
        <v>0</v>
      </c>
      <c r="D60" s="976">
        <f t="shared" ref="D60:K60" si="6">SUM(D61:D70)</f>
        <v>0</v>
      </c>
      <c r="E60" s="977">
        <f t="shared" si="6"/>
        <v>0</v>
      </c>
      <c r="F60" s="978">
        <f t="shared" si="6"/>
        <v>0</v>
      </c>
      <c r="G60" s="976">
        <f t="shared" si="6"/>
        <v>0</v>
      </c>
      <c r="H60" s="979">
        <f t="shared" si="6"/>
        <v>0</v>
      </c>
      <c r="I60" s="980">
        <f t="shared" si="6"/>
        <v>0</v>
      </c>
      <c r="J60" s="976">
        <f t="shared" si="6"/>
        <v>0</v>
      </c>
      <c r="K60" s="977">
        <f t="shared" si="6"/>
        <v>0</v>
      </c>
      <c r="L60" s="188"/>
      <c r="M60" s="189"/>
      <c r="N60" s="189"/>
      <c r="O60" s="189"/>
      <c r="P60" s="189"/>
      <c r="Q60" s="189"/>
      <c r="R60" s="189"/>
      <c r="S60" s="189"/>
      <c r="T60" s="189"/>
      <c r="U60" s="189"/>
      <c r="V60" s="189"/>
      <c r="W60" s="189"/>
    </row>
    <row r="61" spans="1:23" ht="11.25" hidden="1" customHeight="1" x14ac:dyDescent="0.25">
      <c r="A61" s="1169" t="str">
        <f>'Org structure'!E58</f>
        <v>6.1 - [Name of sub-vote]</v>
      </c>
      <c r="B61" s="1046"/>
      <c r="C61" s="1627"/>
      <c r="D61" s="1627"/>
      <c r="E61" s="1628"/>
      <c r="F61" s="1629"/>
      <c r="G61" s="1627"/>
      <c r="H61" s="1630"/>
      <c r="I61" s="1631"/>
      <c r="J61" s="1627"/>
      <c r="K61" s="1628"/>
      <c r="L61" s="188"/>
      <c r="M61" s="189"/>
      <c r="N61" s="189"/>
      <c r="O61" s="189"/>
      <c r="P61" s="189"/>
      <c r="Q61" s="189"/>
      <c r="R61" s="189"/>
      <c r="S61" s="189"/>
      <c r="T61" s="189"/>
      <c r="U61" s="189"/>
      <c r="V61" s="189"/>
      <c r="W61" s="189"/>
    </row>
    <row r="62" spans="1:23" ht="11.25" hidden="1" customHeight="1" x14ac:dyDescent="0.25">
      <c r="A62" s="1169">
        <f>'Org structure'!E59</f>
        <v>0</v>
      </c>
      <c r="B62" s="1046"/>
      <c r="C62" s="1627"/>
      <c r="D62" s="1627"/>
      <c r="E62" s="1628"/>
      <c r="F62" s="1629"/>
      <c r="G62" s="1627"/>
      <c r="H62" s="1630"/>
      <c r="I62" s="1631"/>
      <c r="J62" s="1627"/>
      <c r="K62" s="1628"/>
      <c r="L62" s="188"/>
      <c r="M62" s="189"/>
      <c r="N62" s="189"/>
      <c r="O62" s="189"/>
      <c r="P62" s="189"/>
      <c r="Q62" s="189"/>
      <c r="R62" s="189"/>
      <c r="S62" s="189"/>
      <c r="T62" s="189"/>
      <c r="U62" s="189"/>
      <c r="V62" s="189"/>
      <c r="W62" s="189"/>
    </row>
    <row r="63" spans="1:23" ht="11.25" hidden="1" customHeight="1" x14ac:dyDescent="0.25">
      <c r="A63" s="1169">
        <f>'Org structure'!E60</f>
        <v>0</v>
      </c>
      <c r="B63" s="1046"/>
      <c r="C63" s="1627"/>
      <c r="D63" s="1627"/>
      <c r="E63" s="1628"/>
      <c r="F63" s="1629"/>
      <c r="G63" s="1627"/>
      <c r="H63" s="1630"/>
      <c r="I63" s="1631"/>
      <c r="J63" s="1627"/>
      <c r="K63" s="1628"/>
      <c r="L63" s="188"/>
      <c r="M63" s="189"/>
      <c r="N63" s="189"/>
      <c r="O63" s="189"/>
      <c r="P63" s="189"/>
      <c r="Q63" s="189"/>
      <c r="R63" s="189"/>
      <c r="S63" s="189"/>
      <c r="T63" s="189"/>
      <c r="U63" s="189"/>
      <c r="V63" s="189"/>
      <c r="W63" s="189"/>
    </row>
    <row r="64" spans="1:23" ht="11.25" hidden="1" customHeight="1" x14ac:dyDescent="0.25">
      <c r="A64" s="1169">
        <f>'Org structure'!E61</f>
        <v>0</v>
      </c>
      <c r="B64" s="1046"/>
      <c r="C64" s="1627"/>
      <c r="D64" s="1627"/>
      <c r="E64" s="1628"/>
      <c r="F64" s="1629"/>
      <c r="G64" s="1627"/>
      <c r="H64" s="1630"/>
      <c r="I64" s="1631"/>
      <c r="J64" s="1627"/>
      <c r="K64" s="1628"/>
      <c r="L64" s="188"/>
      <c r="M64" s="189"/>
      <c r="N64" s="189"/>
      <c r="O64" s="189"/>
      <c r="P64" s="189"/>
      <c r="Q64" s="189"/>
      <c r="R64" s="189"/>
      <c r="S64" s="189"/>
      <c r="T64" s="189"/>
      <c r="U64" s="189"/>
      <c r="V64" s="189"/>
      <c r="W64" s="189"/>
    </row>
    <row r="65" spans="1:23" ht="11.25" hidden="1" customHeight="1" x14ac:dyDescent="0.25">
      <c r="A65" s="1169">
        <f>'Org structure'!E62</f>
        <v>0</v>
      </c>
      <c r="B65" s="1046"/>
      <c r="C65" s="1627"/>
      <c r="D65" s="1627"/>
      <c r="E65" s="1628"/>
      <c r="F65" s="1629"/>
      <c r="G65" s="1627"/>
      <c r="H65" s="1630"/>
      <c r="I65" s="1631"/>
      <c r="J65" s="1627"/>
      <c r="K65" s="1628"/>
      <c r="L65" s="188"/>
      <c r="M65" s="189"/>
      <c r="N65" s="189"/>
      <c r="O65" s="189"/>
      <c r="P65" s="189"/>
      <c r="Q65" s="189"/>
      <c r="R65" s="189"/>
      <c r="S65" s="189"/>
      <c r="T65" s="189"/>
      <c r="U65" s="189"/>
      <c r="V65" s="189"/>
      <c r="W65" s="189"/>
    </row>
    <row r="66" spans="1:23" ht="11.25" hidden="1" customHeight="1" x14ac:dyDescent="0.25">
      <c r="A66" s="1169">
        <f>'Org structure'!E63</f>
        <v>0</v>
      </c>
      <c r="B66" s="1046"/>
      <c r="C66" s="1627"/>
      <c r="D66" s="1627"/>
      <c r="E66" s="1628"/>
      <c r="F66" s="1629"/>
      <c r="G66" s="1627"/>
      <c r="H66" s="1630"/>
      <c r="I66" s="1631"/>
      <c r="J66" s="1627"/>
      <c r="K66" s="1628"/>
      <c r="L66" s="188"/>
      <c r="M66" s="189"/>
      <c r="N66" s="189"/>
      <c r="O66" s="189"/>
      <c r="P66" s="189"/>
      <c r="Q66" s="189"/>
      <c r="R66" s="189"/>
      <c r="S66" s="189"/>
      <c r="T66" s="189"/>
      <c r="U66" s="189"/>
      <c r="V66" s="189"/>
      <c r="W66" s="189"/>
    </row>
    <row r="67" spans="1:23" ht="11.25" hidden="1" customHeight="1" x14ac:dyDescent="0.25">
      <c r="A67" s="1169">
        <f>'Org structure'!E64</f>
        <v>0</v>
      </c>
      <c r="B67" s="1046"/>
      <c r="C67" s="1627"/>
      <c r="D67" s="1627"/>
      <c r="E67" s="1628"/>
      <c r="F67" s="1629"/>
      <c r="G67" s="1627"/>
      <c r="H67" s="1630"/>
      <c r="I67" s="1631"/>
      <c r="J67" s="1627"/>
      <c r="K67" s="1628"/>
      <c r="L67" s="188"/>
      <c r="M67" s="189"/>
      <c r="N67" s="189"/>
      <c r="O67" s="189"/>
      <c r="P67" s="189"/>
      <c r="Q67" s="189"/>
      <c r="R67" s="189"/>
      <c r="S67" s="189"/>
      <c r="T67" s="189"/>
      <c r="U67" s="189"/>
      <c r="V67" s="189"/>
      <c r="W67" s="189"/>
    </row>
    <row r="68" spans="1:23" ht="11.25" hidden="1" customHeight="1" x14ac:dyDescent="0.25">
      <c r="A68" s="1169">
        <f>'Org structure'!E65</f>
        <v>0</v>
      </c>
      <c r="B68" s="1046"/>
      <c r="C68" s="1627"/>
      <c r="D68" s="1627"/>
      <c r="E68" s="1628"/>
      <c r="F68" s="1629"/>
      <c r="G68" s="1627"/>
      <c r="H68" s="1630"/>
      <c r="I68" s="1631"/>
      <c r="J68" s="1627"/>
      <c r="K68" s="1628"/>
      <c r="L68" s="188"/>
      <c r="M68" s="189"/>
      <c r="N68" s="189"/>
      <c r="O68" s="189"/>
      <c r="P68" s="189"/>
      <c r="Q68" s="189"/>
      <c r="R68" s="189"/>
      <c r="S68" s="189"/>
      <c r="T68" s="189"/>
      <c r="U68" s="189"/>
      <c r="V68" s="189"/>
      <c r="W68" s="189"/>
    </row>
    <row r="69" spans="1:23" ht="11.25" hidden="1" customHeight="1" x14ac:dyDescent="0.25">
      <c r="A69" s="1169">
        <f>'Org structure'!E66</f>
        <v>0</v>
      </c>
      <c r="B69" s="1046"/>
      <c r="C69" s="1627"/>
      <c r="D69" s="1627"/>
      <c r="E69" s="1628"/>
      <c r="F69" s="1629"/>
      <c r="G69" s="1627"/>
      <c r="H69" s="1630"/>
      <c r="I69" s="1631"/>
      <c r="J69" s="1627"/>
      <c r="K69" s="1628"/>
      <c r="L69" s="188"/>
      <c r="M69" s="189"/>
      <c r="N69" s="189"/>
      <c r="O69" s="189"/>
      <c r="P69" s="189"/>
      <c r="Q69" s="189"/>
      <c r="R69" s="189"/>
      <c r="S69" s="189"/>
      <c r="T69" s="189"/>
      <c r="U69" s="189"/>
      <c r="V69" s="189"/>
      <c r="W69" s="189"/>
    </row>
    <row r="70" spans="1:23" ht="11.25" hidden="1" customHeight="1" x14ac:dyDescent="0.25">
      <c r="A70" s="1169">
        <f>'Org structure'!E67</f>
        <v>0</v>
      </c>
      <c r="B70" s="1046"/>
      <c r="C70" s="1627"/>
      <c r="D70" s="1627"/>
      <c r="E70" s="1628"/>
      <c r="F70" s="1629"/>
      <c r="G70" s="1627"/>
      <c r="H70" s="1630"/>
      <c r="I70" s="1631"/>
      <c r="J70" s="1627"/>
      <c r="K70" s="1628"/>
      <c r="L70" s="188"/>
      <c r="M70" s="189"/>
      <c r="N70" s="189"/>
      <c r="O70" s="189"/>
      <c r="P70" s="189"/>
      <c r="Q70" s="189"/>
      <c r="R70" s="189"/>
      <c r="S70" s="189"/>
      <c r="T70" s="189"/>
      <c r="U70" s="189"/>
      <c r="V70" s="189"/>
      <c r="W70" s="189"/>
    </row>
    <row r="71" spans="1:23" ht="15" hidden="1" customHeight="1" x14ac:dyDescent="0.25">
      <c r="A71" s="1168" t="str">
        <f>'Org structure'!A8</f>
        <v>Vote 7 - [NAME OF VOTE 7]</v>
      </c>
      <c r="B71" s="1057"/>
      <c r="C71" s="976">
        <f t="shared" ref="C71:K71" si="7">SUM(C72:C81)</f>
        <v>0</v>
      </c>
      <c r="D71" s="976">
        <f t="shared" si="7"/>
        <v>0</v>
      </c>
      <c r="E71" s="977">
        <f t="shared" si="7"/>
        <v>0</v>
      </c>
      <c r="F71" s="978">
        <f t="shared" si="7"/>
        <v>0</v>
      </c>
      <c r="G71" s="976">
        <f t="shared" si="7"/>
        <v>0</v>
      </c>
      <c r="H71" s="979">
        <f t="shared" si="7"/>
        <v>0</v>
      </c>
      <c r="I71" s="980">
        <f t="shared" si="7"/>
        <v>0</v>
      </c>
      <c r="J71" s="976">
        <f t="shared" si="7"/>
        <v>0</v>
      </c>
      <c r="K71" s="977">
        <f t="shared" si="7"/>
        <v>0</v>
      </c>
      <c r="L71" s="188"/>
      <c r="M71" s="189"/>
      <c r="N71" s="189"/>
      <c r="O71" s="189"/>
      <c r="P71" s="189"/>
      <c r="Q71" s="189"/>
      <c r="R71" s="189"/>
      <c r="S71" s="189"/>
      <c r="T71" s="189"/>
      <c r="U71" s="189"/>
      <c r="V71" s="189"/>
      <c r="W71" s="189"/>
    </row>
    <row r="72" spans="1:23" ht="11.25" hidden="1" customHeight="1" x14ac:dyDescent="0.25">
      <c r="A72" s="1169" t="str">
        <f>'Org structure'!E69</f>
        <v>7.1 - [Name of sub-vote]</v>
      </c>
      <c r="B72" s="1046"/>
      <c r="C72" s="1627"/>
      <c r="D72" s="1627"/>
      <c r="E72" s="1628"/>
      <c r="F72" s="1629"/>
      <c r="G72" s="1627"/>
      <c r="H72" s="1630"/>
      <c r="I72" s="1631"/>
      <c r="J72" s="1627"/>
      <c r="K72" s="1628"/>
      <c r="L72" s="188"/>
      <c r="M72" s="189"/>
      <c r="N72" s="189"/>
      <c r="O72" s="189"/>
      <c r="P72" s="189"/>
      <c r="Q72" s="189"/>
      <c r="R72" s="189"/>
      <c r="S72" s="189"/>
      <c r="T72" s="189"/>
      <c r="U72" s="189"/>
      <c r="V72" s="189"/>
      <c r="W72" s="189"/>
    </row>
    <row r="73" spans="1:23" ht="11.25" hidden="1" customHeight="1" x14ac:dyDescent="0.25">
      <c r="A73" s="1169">
        <f>'Org structure'!E70</f>
        <v>0</v>
      </c>
      <c r="B73" s="1046"/>
      <c r="C73" s="1627"/>
      <c r="D73" s="1627"/>
      <c r="E73" s="1628"/>
      <c r="F73" s="1629"/>
      <c r="G73" s="1627"/>
      <c r="H73" s="1630"/>
      <c r="I73" s="1631"/>
      <c r="J73" s="1627"/>
      <c r="K73" s="1628"/>
      <c r="L73" s="188"/>
      <c r="M73" s="189"/>
      <c r="N73" s="189"/>
      <c r="O73" s="189"/>
      <c r="P73" s="189"/>
      <c r="Q73" s="189"/>
      <c r="R73" s="189"/>
      <c r="S73" s="189"/>
      <c r="T73" s="189"/>
      <c r="U73" s="189"/>
      <c r="V73" s="189"/>
      <c r="W73" s="189"/>
    </row>
    <row r="74" spans="1:23" ht="11.25" hidden="1" customHeight="1" x14ac:dyDescent="0.25">
      <c r="A74" s="1169">
        <f>'Org structure'!E71</f>
        <v>0</v>
      </c>
      <c r="B74" s="1046"/>
      <c r="C74" s="1627"/>
      <c r="D74" s="1627"/>
      <c r="E74" s="1628"/>
      <c r="F74" s="1629"/>
      <c r="G74" s="1627"/>
      <c r="H74" s="1630"/>
      <c r="I74" s="1631"/>
      <c r="J74" s="1627"/>
      <c r="K74" s="1628"/>
      <c r="L74" s="188"/>
      <c r="M74" s="189"/>
      <c r="N74" s="189"/>
      <c r="O74" s="189"/>
      <c r="P74" s="189"/>
      <c r="Q74" s="189"/>
      <c r="R74" s="189"/>
      <c r="S74" s="189"/>
      <c r="T74" s="189"/>
      <c r="U74" s="189"/>
      <c r="V74" s="189"/>
      <c r="W74" s="189"/>
    </row>
    <row r="75" spans="1:23" ht="11.25" hidden="1" customHeight="1" x14ac:dyDescent="0.25">
      <c r="A75" s="1169">
        <f>'Org structure'!E72</f>
        <v>0</v>
      </c>
      <c r="B75" s="1046"/>
      <c r="C75" s="1627"/>
      <c r="D75" s="1627"/>
      <c r="E75" s="1628"/>
      <c r="F75" s="1629"/>
      <c r="G75" s="1627"/>
      <c r="H75" s="1630"/>
      <c r="I75" s="1631"/>
      <c r="J75" s="1627"/>
      <c r="K75" s="1628"/>
      <c r="L75" s="188"/>
      <c r="M75" s="189"/>
      <c r="N75" s="189"/>
      <c r="O75" s="189"/>
      <c r="P75" s="189"/>
      <c r="Q75" s="189"/>
      <c r="R75" s="189"/>
      <c r="S75" s="189"/>
      <c r="T75" s="189"/>
      <c r="U75" s="189"/>
      <c r="V75" s="189"/>
      <c r="W75" s="189"/>
    </row>
    <row r="76" spans="1:23" ht="11.25" hidden="1" customHeight="1" x14ac:dyDescent="0.25">
      <c r="A76" s="1169">
        <f>'Org structure'!E73</f>
        <v>0</v>
      </c>
      <c r="B76" s="1046"/>
      <c r="C76" s="1627"/>
      <c r="D76" s="1627"/>
      <c r="E76" s="1628"/>
      <c r="F76" s="1629"/>
      <c r="G76" s="1627"/>
      <c r="H76" s="1630"/>
      <c r="I76" s="1631"/>
      <c r="J76" s="1627"/>
      <c r="K76" s="1628"/>
      <c r="L76" s="188"/>
      <c r="M76" s="189"/>
      <c r="N76" s="189"/>
      <c r="O76" s="189"/>
      <c r="P76" s="189"/>
      <c r="Q76" s="189"/>
      <c r="R76" s="189"/>
      <c r="S76" s="189"/>
      <c r="T76" s="189"/>
      <c r="U76" s="189"/>
      <c r="V76" s="189"/>
      <c r="W76" s="189"/>
    </row>
    <row r="77" spans="1:23" ht="11.25" hidden="1" customHeight="1" x14ac:dyDescent="0.25">
      <c r="A77" s="1169">
        <f>'Org structure'!E74</f>
        <v>0</v>
      </c>
      <c r="B77" s="1046"/>
      <c r="C77" s="1627"/>
      <c r="D77" s="1627"/>
      <c r="E77" s="1628"/>
      <c r="F77" s="1629"/>
      <c r="G77" s="1627"/>
      <c r="H77" s="1630"/>
      <c r="I77" s="1631"/>
      <c r="J77" s="1627"/>
      <c r="K77" s="1628"/>
      <c r="L77" s="188"/>
      <c r="M77" s="189"/>
      <c r="N77" s="189"/>
      <c r="O77" s="189"/>
      <c r="P77" s="189"/>
      <c r="Q77" s="189"/>
      <c r="R77" s="189"/>
      <c r="S77" s="189"/>
      <c r="T77" s="189"/>
      <c r="U77" s="189"/>
      <c r="V77" s="189"/>
      <c r="W77" s="189"/>
    </row>
    <row r="78" spans="1:23" ht="11.25" hidden="1" customHeight="1" x14ac:dyDescent="0.25">
      <c r="A78" s="1169">
        <f>'Org structure'!E75</f>
        <v>0</v>
      </c>
      <c r="B78" s="1046"/>
      <c r="C78" s="1627"/>
      <c r="D78" s="1627"/>
      <c r="E78" s="1628"/>
      <c r="F78" s="1629"/>
      <c r="G78" s="1627"/>
      <c r="H78" s="1630"/>
      <c r="I78" s="1631"/>
      <c r="J78" s="1627"/>
      <c r="K78" s="1628"/>
      <c r="L78" s="195"/>
      <c r="M78" s="196"/>
      <c r="N78" s="196"/>
      <c r="O78" s="196"/>
      <c r="P78" s="196"/>
      <c r="Q78" s="196"/>
      <c r="R78" s="196"/>
      <c r="S78" s="196"/>
      <c r="T78" s="196"/>
      <c r="U78" s="196"/>
      <c r="V78" s="196"/>
      <c r="W78" s="196"/>
    </row>
    <row r="79" spans="1:23" ht="11.25" hidden="1" customHeight="1" x14ac:dyDescent="0.25">
      <c r="A79" s="1169">
        <f>'Org structure'!E76</f>
        <v>0</v>
      </c>
      <c r="B79" s="1046"/>
      <c r="C79" s="1627"/>
      <c r="D79" s="1627"/>
      <c r="E79" s="1628"/>
      <c r="F79" s="1629"/>
      <c r="G79" s="1627"/>
      <c r="H79" s="1630"/>
      <c r="I79" s="1631"/>
      <c r="J79" s="1627"/>
      <c r="K79" s="1628"/>
      <c r="L79" s="195"/>
      <c r="M79" s="196"/>
      <c r="N79" s="196"/>
      <c r="O79" s="196"/>
      <c r="P79" s="196"/>
      <c r="Q79" s="196"/>
      <c r="R79" s="196"/>
      <c r="S79" s="196"/>
      <c r="T79" s="196"/>
      <c r="U79" s="196"/>
      <c r="V79" s="196"/>
      <c r="W79" s="196"/>
    </row>
    <row r="80" spans="1:23" ht="11.25" hidden="1" customHeight="1" x14ac:dyDescent="0.25">
      <c r="A80" s="1169">
        <f>'Org structure'!E77</f>
        <v>0</v>
      </c>
      <c r="B80" s="1046"/>
      <c r="C80" s="1627"/>
      <c r="D80" s="1627"/>
      <c r="E80" s="1628"/>
      <c r="F80" s="1629"/>
      <c r="G80" s="1627"/>
      <c r="H80" s="1630"/>
      <c r="I80" s="1631"/>
      <c r="J80" s="1627"/>
      <c r="K80" s="1628"/>
      <c r="L80" s="195"/>
      <c r="M80" s="196"/>
      <c r="N80" s="196"/>
      <c r="O80" s="196"/>
      <c r="P80" s="196"/>
      <c r="Q80" s="196"/>
      <c r="R80" s="196"/>
      <c r="S80" s="196"/>
      <c r="T80" s="196"/>
      <c r="U80" s="196"/>
      <c r="V80" s="196"/>
      <c r="W80" s="196"/>
    </row>
    <row r="81" spans="1:23" ht="11.25" hidden="1" customHeight="1" x14ac:dyDescent="0.25">
      <c r="A81" s="1169">
        <f>'Org structure'!E78</f>
        <v>0</v>
      </c>
      <c r="B81" s="1046"/>
      <c r="C81" s="1627"/>
      <c r="D81" s="1627"/>
      <c r="E81" s="1628"/>
      <c r="F81" s="1629"/>
      <c r="G81" s="1627"/>
      <c r="H81" s="1630"/>
      <c r="I81" s="1631"/>
      <c r="J81" s="1627"/>
      <c r="K81" s="1628"/>
      <c r="L81" s="195"/>
      <c r="M81" s="196"/>
      <c r="N81" s="196"/>
      <c r="O81" s="196"/>
      <c r="P81" s="196"/>
      <c r="Q81" s="196"/>
      <c r="R81" s="196"/>
      <c r="S81" s="196"/>
      <c r="T81" s="196"/>
      <c r="U81" s="196"/>
      <c r="V81" s="196"/>
      <c r="W81" s="196"/>
    </row>
    <row r="82" spans="1:23" ht="15" hidden="1" customHeight="1" x14ac:dyDescent="0.25">
      <c r="A82" s="1168" t="str">
        <f>'Org structure'!A9</f>
        <v>Vote 8 - [NAME OF VOTE 8]</v>
      </c>
      <c r="B82" s="1046"/>
      <c r="C82" s="976">
        <f>SUM(C83:C92)</f>
        <v>0</v>
      </c>
      <c r="D82" s="976">
        <f t="shared" ref="D82:K82" si="8">SUM(D83:D92)</f>
        <v>0</v>
      </c>
      <c r="E82" s="977">
        <f t="shared" si="8"/>
        <v>0</v>
      </c>
      <c r="F82" s="978">
        <f t="shared" si="8"/>
        <v>0</v>
      </c>
      <c r="G82" s="976">
        <f t="shared" si="8"/>
        <v>0</v>
      </c>
      <c r="H82" s="979">
        <f t="shared" si="8"/>
        <v>0</v>
      </c>
      <c r="I82" s="980">
        <f t="shared" si="8"/>
        <v>0</v>
      </c>
      <c r="J82" s="976">
        <f t="shared" si="8"/>
        <v>0</v>
      </c>
      <c r="K82" s="977">
        <f t="shared" si="8"/>
        <v>0</v>
      </c>
      <c r="L82" s="195"/>
      <c r="M82" s="196"/>
      <c r="N82" s="196"/>
      <c r="O82" s="196"/>
      <c r="P82" s="196"/>
      <c r="Q82" s="196"/>
      <c r="R82" s="196"/>
      <c r="S82" s="196"/>
      <c r="T82" s="196"/>
      <c r="U82" s="196"/>
      <c r="V82" s="196"/>
      <c r="W82" s="196"/>
    </row>
    <row r="83" spans="1:23" ht="11.25" hidden="1" customHeight="1" x14ac:dyDescent="0.25">
      <c r="A83" s="1169" t="str">
        <f>'Org structure'!E80</f>
        <v>8.1 - [Name of sub-vote]</v>
      </c>
      <c r="B83" s="1046"/>
      <c r="C83" s="1627"/>
      <c r="D83" s="1627"/>
      <c r="E83" s="1628"/>
      <c r="F83" s="1629"/>
      <c r="G83" s="1627"/>
      <c r="H83" s="1630"/>
      <c r="I83" s="1631"/>
      <c r="J83" s="1627"/>
      <c r="K83" s="1628"/>
      <c r="L83" s="195"/>
      <c r="M83" s="196"/>
      <c r="N83" s="196"/>
      <c r="O83" s="196"/>
      <c r="P83" s="196"/>
      <c r="Q83" s="196"/>
      <c r="R83" s="196"/>
      <c r="S83" s="196"/>
      <c r="T83" s="196"/>
      <c r="U83" s="196"/>
      <c r="V83" s="196"/>
      <c r="W83" s="196"/>
    </row>
    <row r="84" spans="1:23" ht="11.25" hidden="1" customHeight="1" x14ac:dyDescent="0.25">
      <c r="A84" s="1169">
        <f>'Org structure'!E81</f>
        <v>0</v>
      </c>
      <c r="B84" s="1046"/>
      <c r="C84" s="1627"/>
      <c r="D84" s="1627"/>
      <c r="E84" s="1628"/>
      <c r="F84" s="1629"/>
      <c r="G84" s="1627"/>
      <c r="H84" s="1630"/>
      <c r="I84" s="1631"/>
      <c r="J84" s="1627"/>
      <c r="K84" s="1628"/>
      <c r="L84" s="195"/>
      <c r="M84" s="196"/>
      <c r="N84" s="196"/>
      <c r="O84" s="196"/>
      <c r="P84" s="196"/>
      <c r="Q84" s="196"/>
      <c r="R84" s="196"/>
      <c r="S84" s="196"/>
      <c r="T84" s="196"/>
      <c r="U84" s="196"/>
      <c r="V84" s="196"/>
      <c r="W84" s="196"/>
    </row>
    <row r="85" spans="1:23" ht="11.25" hidden="1" customHeight="1" x14ac:dyDescent="0.25">
      <c r="A85" s="1169">
        <f>'Org structure'!E82</f>
        <v>0</v>
      </c>
      <c r="B85" s="1046"/>
      <c r="C85" s="1627"/>
      <c r="D85" s="1627"/>
      <c r="E85" s="1628"/>
      <c r="F85" s="1629"/>
      <c r="G85" s="1627"/>
      <c r="H85" s="1630"/>
      <c r="I85" s="1631"/>
      <c r="J85" s="1627"/>
      <c r="K85" s="1628"/>
      <c r="L85" s="195"/>
      <c r="M85" s="196"/>
      <c r="N85" s="196"/>
      <c r="O85" s="196"/>
      <c r="P85" s="196"/>
      <c r="Q85" s="196"/>
      <c r="R85" s="196"/>
      <c r="S85" s="196"/>
      <c r="T85" s="196"/>
      <c r="U85" s="196"/>
      <c r="V85" s="196"/>
      <c r="W85" s="196"/>
    </row>
    <row r="86" spans="1:23" ht="11.25" hidden="1" customHeight="1" x14ac:dyDescent="0.25">
      <c r="A86" s="1169">
        <f>'Org structure'!E83</f>
        <v>0</v>
      </c>
      <c r="B86" s="1046"/>
      <c r="C86" s="1627"/>
      <c r="D86" s="1627"/>
      <c r="E86" s="1628"/>
      <c r="F86" s="1629"/>
      <c r="G86" s="1627"/>
      <c r="H86" s="1630"/>
      <c r="I86" s="1631"/>
      <c r="J86" s="1627"/>
      <c r="K86" s="1628"/>
      <c r="L86" s="195"/>
      <c r="M86" s="196"/>
      <c r="N86" s="196"/>
      <c r="O86" s="196"/>
      <c r="P86" s="196"/>
      <c r="Q86" s="196"/>
      <c r="R86" s="196"/>
      <c r="S86" s="196"/>
      <c r="T86" s="196"/>
      <c r="U86" s="196"/>
      <c r="V86" s="196"/>
      <c r="W86" s="196"/>
    </row>
    <row r="87" spans="1:23" ht="11.25" hidden="1" customHeight="1" x14ac:dyDescent="0.25">
      <c r="A87" s="1169">
        <f>'Org structure'!E84</f>
        <v>0</v>
      </c>
      <c r="B87" s="1046"/>
      <c r="C87" s="1627"/>
      <c r="D87" s="1627"/>
      <c r="E87" s="1628"/>
      <c r="F87" s="1629"/>
      <c r="G87" s="1627"/>
      <c r="H87" s="1630"/>
      <c r="I87" s="1631"/>
      <c r="J87" s="1627"/>
      <c r="K87" s="1628"/>
      <c r="L87" s="195"/>
      <c r="M87" s="196"/>
      <c r="N87" s="196"/>
      <c r="O87" s="196"/>
      <c r="P87" s="196"/>
      <c r="Q87" s="196"/>
      <c r="R87" s="196"/>
      <c r="S87" s="196"/>
      <c r="T87" s="196"/>
      <c r="U87" s="196"/>
      <c r="V87" s="196"/>
      <c r="W87" s="196"/>
    </row>
    <row r="88" spans="1:23" ht="11.25" hidden="1" customHeight="1" x14ac:dyDescent="0.25">
      <c r="A88" s="1169">
        <f>'Org structure'!E85</f>
        <v>0</v>
      </c>
      <c r="B88" s="1046"/>
      <c r="C88" s="1627"/>
      <c r="D88" s="1627"/>
      <c r="E88" s="1628"/>
      <c r="F88" s="1629"/>
      <c r="G88" s="1627"/>
      <c r="H88" s="1630"/>
      <c r="I88" s="1631"/>
      <c r="J88" s="1627"/>
      <c r="K88" s="1628"/>
      <c r="L88" s="195"/>
      <c r="M88" s="196"/>
      <c r="N88" s="196"/>
      <c r="O88" s="196"/>
      <c r="P88" s="196"/>
      <c r="Q88" s="196"/>
      <c r="R88" s="196"/>
      <c r="S88" s="196"/>
      <c r="T88" s="196"/>
      <c r="U88" s="196"/>
      <c r="V88" s="196"/>
      <c r="W88" s="196"/>
    </row>
    <row r="89" spans="1:23" ht="11.25" hidden="1" customHeight="1" x14ac:dyDescent="0.25">
      <c r="A89" s="1169">
        <f>'Org structure'!E86</f>
        <v>0</v>
      </c>
      <c r="B89" s="1046"/>
      <c r="C89" s="1627"/>
      <c r="D89" s="1627"/>
      <c r="E89" s="1628"/>
      <c r="F89" s="1629"/>
      <c r="G89" s="1627"/>
      <c r="H89" s="1630"/>
      <c r="I89" s="1631"/>
      <c r="J89" s="1627"/>
      <c r="K89" s="1628"/>
      <c r="L89" s="195"/>
      <c r="M89" s="196"/>
      <c r="N89" s="196"/>
      <c r="O89" s="196"/>
      <c r="P89" s="196"/>
      <c r="Q89" s="196"/>
      <c r="R89" s="196"/>
      <c r="S89" s="196"/>
      <c r="T89" s="196"/>
      <c r="U89" s="196"/>
      <c r="V89" s="196"/>
      <c r="W89" s="196"/>
    </row>
    <row r="90" spans="1:23" ht="11.25" hidden="1" customHeight="1" x14ac:dyDescent="0.25">
      <c r="A90" s="1169">
        <f>'Org structure'!E87</f>
        <v>0</v>
      </c>
      <c r="B90" s="1046"/>
      <c r="C90" s="1627"/>
      <c r="D90" s="1627"/>
      <c r="E90" s="1628"/>
      <c r="F90" s="1629"/>
      <c r="G90" s="1627"/>
      <c r="H90" s="1630"/>
      <c r="I90" s="1631"/>
      <c r="J90" s="1627"/>
      <c r="K90" s="1628"/>
      <c r="L90" s="195"/>
      <c r="M90" s="196"/>
      <c r="N90" s="196"/>
      <c r="O90" s="196"/>
      <c r="P90" s="196"/>
      <c r="Q90" s="196"/>
      <c r="R90" s="196"/>
      <c r="S90" s="196"/>
      <c r="T90" s="196"/>
      <c r="U90" s="196"/>
      <c r="V90" s="196"/>
      <c r="W90" s="196"/>
    </row>
    <row r="91" spans="1:23" ht="11.25" hidden="1" customHeight="1" x14ac:dyDescent="0.25">
      <c r="A91" s="1169">
        <f>'Org structure'!E88</f>
        <v>0</v>
      </c>
      <c r="B91" s="1046"/>
      <c r="C91" s="1627"/>
      <c r="D91" s="1627"/>
      <c r="E91" s="1628"/>
      <c r="F91" s="1629"/>
      <c r="G91" s="1627"/>
      <c r="H91" s="1630"/>
      <c r="I91" s="1631"/>
      <c r="J91" s="1627"/>
      <c r="K91" s="1628"/>
      <c r="L91" s="195"/>
      <c r="M91" s="196"/>
      <c r="N91" s="196"/>
      <c r="O91" s="196"/>
      <c r="P91" s="196"/>
      <c r="Q91" s="196"/>
      <c r="R91" s="196"/>
      <c r="S91" s="196"/>
      <c r="T91" s="196"/>
      <c r="U91" s="196"/>
      <c r="V91" s="196"/>
      <c r="W91" s="196"/>
    </row>
    <row r="92" spans="1:23" ht="11.25" hidden="1" customHeight="1" x14ac:dyDescent="0.25">
      <c r="A92" s="1169">
        <f>'Org structure'!E89</f>
        <v>0</v>
      </c>
      <c r="B92" s="1046"/>
      <c r="C92" s="1627"/>
      <c r="D92" s="1627"/>
      <c r="E92" s="1628"/>
      <c r="F92" s="1629"/>
      <c r="G92" s="1627"/>
      <c r="H92" s="1630"/>
      <c r="I92" s="1631"/>
      <c r="J92" s="1627"/>
      <c r="K92" s="1628"/>
      <c r="L92" s="195"/>
      <c r="M92" s="196"/>
      <c r="N92" s="196"/>
      <c r="O92" s="196"/>
      <c r="P92" s="196"/>
      <c r="Q92" s="196"/>
      <c r="R92" s="196"/>
      <c r="S92" s="196"/>
      <c r="T92" s="196"/>
      <c r="U92" s="196"/>
      <c r="V92" s="196"/>
      <c r="W92" s="196"/>
    </row>
    <row r="93" spans="1:23" ht="15" hidden="1" customHeight="1" x14ac:dyDescent="0.25">
      <c r="A93" s="1168" t="str">
        <f>'Org structure'!A10</f>
        <v>Vote 9 - [NAME OF VOTE 9]</v>
      </c>
      <c r="B93" s="1046"/>
      <c r="C93" s="976">
        <f>SUM(C94:C103)</f>
        <v>0</v>
      </c>
      <c r="D93" s="976">
        <f t="shared" ref="D93:K93" si="9">SUM(D94:D103)</f>
        <v>0</v>
      </c>
      <c r="E93" s="977">
        <f t="shared" si="9"/>
        <v>0</v>
      </c>
      <c r="F93" s="978">
        <f t="shared" si="9"/>
        <v>0</v>
      </c>
      <c r="G93" s="976">
        <f t="shared" si="9"/>
        <v>0</v>
      </c>
      <c r="H93" s="979">
        <f t="shared" si="9"/>
        <v>0</v>
      </c>
      <c r="I93" s="980">
        <f t="shared" si="9"/>
        <v>0</v>
      </c>
      <c r="J93" s="976">
        <f t="shared" si="9"/>
        <v>0</v>
      </c>
      <c r="K93" s="977">
        <f t="shared" si="9"/>
        <v>0</v>
      </c>
      <c r="L93" s="195"/>
      <c r="M93" s="196"/>
      <c r="N93" s="196"/>
      <c r="O93" s="196"/>
      <c r="P93" s="196"/>
      <c r="Q93" s="196"/>
      <c r="R93" s="196"/>
      <c r="S93" s="196"/>
      <c r="T93" s="196"/>
      <c r="U93" s="196"/>
      <c r="V93" s="196"/>
      <c r="W93" s="196"/>
    </row>
    <row r="94" spans="1:23" ht="11.25" hidden="1" customHeight="1" x14ac:dyDescent="0.25">
      <c r="A94" s="1169" t="str">
        <f>'Org structure'!E91</f>
        <v>9.1 - [Name of sub-vote]</v>
      </c>
      <c r="B94" s="1046"/>
      <c r="C94" s="1627"/>
      <c r="D94" s="1627"/>
      <c r="E94" s="1628"/>
      <c r="F94" s="1629"/>
      <c r="G94" s="1627"/>
      <c r="H94" s="1630"/>
      <c r="I94" s="1631"/>
      <c r="J94" s="1627"/>
      <c r="K94" s="1628"/>
      <c r="L94" s="195"/>
      <c r="M94" s="196"/>
      <c r="N94" s="196"/>
      <c r="O94" s="196"/>
      <c r="P94" s="196"/>
      <c r="Q94" s="196"/>
      <c r="R94" s="196"/>
      <c r="S94" s="196"/>
      <c r="T94" s="196"/>
      <c r="U94" s="196"/>
      <c r="V94" s="196"/>
      <c r="W94" s="196"/>
    </row>
    <row r="95" spans="1:23" ht="11.25" hidden="1" customHeight="1" x14ac:dyDescent="0.25">
      <c r="A95" s="1169">
        <f>'Org structure'!E92</f>
        <v>0</v>
      </c>
      <c r="B95" s="1046"/>
      <c r="C95" s="1627"/>
      <c r="D95" s="1627"/>
      <c r="E95" s="1628"/>
      <c r="F95" s="1629"/>
      <c r="G95" s="1627"/>
      <c r="H95" s="1630"/>
      <c r="I95" s="1631"/>
      <c r="J95" s="1627"/>
      <c r="K95" s="1628"/>
      <c r="L95" s="195"/>
      <c r="M95" s="196"/>
      <c r="N95" s="196"/>
      <c r="O95" s="196"/>
      <c r="P95" s="196"/>
      <c r="Q95" s="196"/>
      <c r="R95" s="196"/>
      <c r="S95" s="196"/>
      <c r="T95" s="196"/>
      <c r="U95" s="196"/>
      <c r="V95" s="196"/>
      <c r="W95" s="196"/>
    </row>
    <row r="96" spans="1:23" ht="11.25" hidden="1" customHeight="1" x14ac:dyDescent="0.25">
      <c r="A96" s="1169">
        <f>'Org structure'!E93</f>
        <v>0</v>
      </c>
      <c r="B96" s="1046"/>
      <c r="C96" s="1627"/>
      <c r="D96" s="1627"/>
      <c r="E96" s="1628"/>
      <c r="F96" s="1629"/>
      <c r="G96" s="1627"/>
      <c r="H96" s="1630"/>
      <c r="I96" s="1631"/>
      <c r="J96" s="1627"/>
      <c r="K96" s="1628"/>
      <c r="L96" s="195"/>
      <c r="M96" s="196"/>
      <c r="N96" s="196"/>
      <c r="O96" s="196"/>
      <c r="P96" s="196"/>
      <c r="Q96" s="196"/>
      <c r="R96" s="196"/>
      <c r="S96" s="196"/>
      <c r="T96" s="196"/>
      <c r="U96" s="196"/>
      <c r="V96" s="196"/>
      <c r="W96" s="196"/>
    </row>
    <row r="97" spans="1:23" ht="11.25" hidden="1" customHeight="1" x14ac:dyDescent="0.25">
      <c r="A97" s="1169">
        <f>'Org structure'!E94</f>
        <v>0</v>
      </c>
      <c r="B97" s="1046"/>
      <c r="C97" s="1627"/>
      <c r="D97" s="1627"/>
      <c r="E97" s="1628"/>
      <c r="F97" s="1629"/>
      <c r="G97" s="1627"/>
      <c r="H97" s="1630"/>
      <c r="I97" s="1631"/>
      <c r="J97" s="1627"/>
      <c r="K97" s="1628"/>
      <c r="L97" s="195"/>
      <c r="M97" s="196"/>
      <c r="N97" s="196"/>
      <c r="O97" s="196"/>
      <c r="P97" s="196"/>
      <c r="Q97" s="196"/>
      <c r="R97" s="196"/>
      <c r="S97" s="196"/>
      <c r="T97" s="196"/>
      <c r="U97" s="196"/>
      <c r="V97" s="196"/>
      <c r="W97" s="196"/>
    </row>
    <row r="98" spans="1:23" ht="11.25" hidden="1" customHeight="1" x14ac:dyDescent="0.25">
      <c r="A98" s="1169">
        <f>'Org structure'!E95</f>
        <v>0</v>
      </c>
      <c r="B98" s="1046"/>
      <c r="C98" s="1627"/>
      <c r="D98" s="1627"/>
      <c r="E98" s="1628"/>
      <c r="F98" s="1629"/>
      <c r="G98" s="1627"/>
      <c r="H98" s="1630"/>
      <c r="I98" s="1631"/>
      <c r="J98" s="1627"/>
      <c r="K98" s="1628"/>
      <c r="L98" s="195"/>
      <c r="M98" s="196"/>
      <c r="N98" s="196"/>
      <c r="O98" s="196"/>
      <c r="P98" s="196"/>
      <c r="Q98" s="196"/>
      <c r="R98" s="196"/>
      <c r="S98" s="196"/>
      <c r="T98" s="196"/>
      <c r="U98" s="196"/>
      <c r="V98" s="196"/>
      <c r="W98" s="196"/>
    </row>
    <row r="99" spans="1:23" ht="11.25" hidden="1" customHeight="1" x14ac:dyDescent="0.25">
      <c r="A99" s="1169">
        <f>'Org structure'!E96</f>
        <v>0</v>
      </c>
      <c r="B99" s="1046"/>
      <c r="C99" s="1627"/>
      <c r="D99" s="1627"/>
      <c r="E99" s="1628"/>
      <c r="F99" s="1629"/>
      <c r="G99" s="1627"/>
      <c r="H99" s="1630"/>
      <c r="I99" s="1631"/>
      <c r="J99" s="1627"/>
      <c r="K99" s="1628"/>
      <c r="L99" s="195"/>
      <c r="M99" s="196"/>
      <c r="N99" s="196"/>
      <c r="O99" s="196"/>
      <c r="P99" s="196"/>
      <c r="Q99" s="196"/>
      <c r="R99" s="196"/>
      <c r="S99" s="196"/>
      <c r="T99" s="196"/>
      <c r="U99" s="196"/>
      <c r="V99" s="196"/>
      <c r="W99" s="196"/>
    </row>
    <row r="100" spans="1:23" ht="11.25" hidden="1" customHeight="1" x14ac:dyDescent="0.25">
      <c r="A100" s="1169">
        <f>'Org structure'!E97</f>
        <v>0</v>
      </c>
      <c r="B100" s="1046"/>
      <c r="C100" s="1627"/>
      <c r="D100" s="1627"/>
      <c r="E100" s="1628"/>
      <c r="F100" s="1629"/>
      <c r="G100" s="1627"/>
      <c r="H100" s="1630"/>
      <c r="I100" s="1631"/>
      <c r="J100" s="1627"/>
      <c r="K100" s="1628"/>
      <c r="L100" s="195"/>
      <c r="M100" s="196"/>
      <c r="N100" s="196"/>
      <c r="O100" s="196"/>
      <c r="P100" s="196"/>
      <c r="Q100" s="196"/>
      <c r="R100" s="196"/>
      <c r="S100" s="196"/>
      <c r="T100" s="196"/>
      <c r="U100" s="196"/>
      <c r="V100" s="196"/>
      <c r="W100" s="196"/>
    </row>
    <row r="101" spans="1:23" ht="11.25" hidden="1" customHeight="1" x14ac:dyDescent="0.25">
      <c r="A101" s="1169">
        <f>'Org structure'!E98</f>
        <v>0</v>
      </c>
      <c r="B101" s="1046"/>
      <c r="C101" s="1627"/>
      <c r="D101" s="1627"/>
      <c r="E101" s="1628"/>
      <c r="F101" s="1629"/>
      <c r="G101" s="1627"/>
      <c r="H101" s="1630"/>
      <c r="I101" s="1631"/>
      <c r="J101" s="1627"/>
      <c r="K101" s="1628"/>
      <c r="L101" s="195"/>
      <c r="M101" s="196"/>
      <c r="N101" s="196"/>
      <c r="O101" s="196"/>
      <c r="P101" s="196"/>
      <c r="Q101" s="196"/>
      <c r="R101" s="196"/>
      <c r="S101" s="196"/>
      <c r="T101" s="196"/>
      <c r="U101" s="196"/>
      <c r="V101" s="196"/>
      <c r="W101" s="196"/>
    </row>
    <row r="102" spans="1:23" ht="11.25" hidden="1" customHeight="1" x14ac:dyDescent="0.25">
      <c r="A102" s="1169">
        <f>'Org structure'!E99</f>
        <v>0</v>
      </c>
      <c r="B102" s="1046"/>
      <c r="C102" s="1627"/>
      <c r="D102" s="1627"/>
      <c r="E102" s="1628"/>
      <c r="F102" s="1629"/>
      <c r="G102" s="1627"/>
      <c r="H102" s="1630"/>
      <c r="I102" s="1631"/>
      <c r="J102" s="1627"/>
      <c r="K102" s="1628"/>
      <c r="L102" s="195"/>
      <c r="M102" s="196"/>
      <c r="N102" s="196"/>
      <c r="O102" s="196"/>
      <c r="P102" s="196"/>
      <c r="Q102" s="196"/>
      <c r="R102" s="196"/>
      <c r="S102" s="196"/>
      <c r="T102" s="196"/>
      <c r="U102" s="196"/>
      <c r="V102" s="196"/>
      <c r="W102" s="196"/>
    </row>
    <row r="103" spans="1:23" ht="11.25" hidden="1" customHeight="1" x14ac:dyDescent="0.25">
      <c r="A103" s="1169">
        <f>'Org structure'!E100</f>
        <v>0</v>
      </c>
      <c r="B103" s="1046"/>
      <c r="C103" s="1627"/>
      <c r="D103" s="1627"/>
      <c r="E103" s="1628"/>
      <c r="F103" s="1629"/>
      <c r="G103" s="1627"/>
      <c r="H103" s="1630"/>
      <c r="I103" s="1631"/>
      <c r="J103" s="1627"/>
      <c r="K103" s="1628"/>
      <c r="L103" s="195"/>
      <c r="M103" s="196"/>
      <c r="N103" s="196"/>
      <c r="O103" s="196"/>
      <c r="P103" s="196"/>
      <c r="Q103" s="196"/>
      <c r="R103" s="196"/>
      <c r="S103" s="196"/>
      <c r="T103" s="196"/>
      <c r="U103" s="196"/>
      <c r="V103" s="196"/>
      <c r="W103" s="196"/>
    </row>
    <row r="104" spans="1:23" ht="15" hidden="1" customHeight="1" x14ac:dyDescent="0.25">
      <c r="A104" s="1168" t="str">
        <f>'Org structure'!A11</f>
        <v>Vote 10 - [NAME OF VOTE 10]</v>
      </c>
      <c r="B104" s="1046"/>
      <c r="C104" s="976">
        <f>SUM(C105:C114)</f>
        <v>0</v>
      </c>
      <c r="D104" s="976">
        <f t="shared" ref="D104:K104" si="10">SUM(D105:D114)</f>
        <v>0</v>
      </c>
      <c r="E104" s="977">
        <f t="shared" si="10"/>
        <v>0</v>
      </c>
      <c r="F104" s="978">
        <f t="shared" si="10"/>
        <v>0</v>
      </c>
      <c r="G104" s="976">
        <f t="shared" si="10"/>
        <v>0</v>
      </c>
      <c r="H104" s="979">
        <f t="shared" si="10"/>
        <v>0</v>
      </c>
      <c r="I104" s="980">
        <f t="shared" si="10"/>
        <v>0</v>
      </c>
      <c r="J104" s="976">
        <f t="shared" si="10"/>
        <v>0</v>
      </c>
      <c r="K104" s="977">
        <f t="shared" si="10"/>
        <v>0</v>
      </c>
      <c r="L104" s="195"/>
      <c r="M104" s="196"/>
      <c r="N104" s="196"/>
      <c r="O104" s="196"/>
      <c r="P104" s="196"/>
      <c r="Q104" s="196"/>
      <c r="R104" s="196"/>
      <c r="S104" s="196"/>
      <c r="T104" s="196"/>
      <c r="U104" s="196"/>
      <c r="V104" s="196"/>
      <c r="W104" s="196"/>
    </row>
    <row r="105" spans="1:23" ht="11.25" hidden="1" customHeight="1" x14ac:dyDescent="0.25">
      <c r="A105" s="1169" t="str">
        <f>'Org structure'!E102</f>
        <v>10.1 - [Name of sub-vote]</v>
      </c>
      <c r="B105" s="1046"/>
      <c r="C105" s="1627"/>
      <c r="D105" s="1627"/>
      <c r="E105" s="1628"/>
      <c r="F105" s="1629"/>
      <c r="G105" s="1627"/>
      <c r="H105" s="1630"/>
      <c r="I105" s="1631"/>
      <c r="J105" s="1627"/>
      <c r="K105" s="1628"/>
      <c r="L105" s="195"/>
      <c r="M105" s="196"/>
      <c r="N105" s="196"/>
      <c r="O105" s="196"/>
      <c r="P105" s="196"/>
      <c r="Q105" s="196"/>
      <c r="R105" s="196"/>
      <c r="S105" s="196"/>
      <c r="T105" s="196"/>
      <c r="U105" s="196"/>
      <c r="V105" s="196"/>
      <c r="W105" s="196"/>
    </row>
    <row r="106" spans="1:23" ht="11.25" hidden="1" customHeight="1" x14ac:dyDescent="0.25">
      <c r="A106" s="1169">
        <f>'Org structure'!E103</f>
        <v>0</v>
      </c>
      <c r="B106" s="1046"/>
      <c r="C106" s="1627"/>
      <c r="D106" s="1627"/>
      <c r="E106" s="1628"/>
      <c r="F106" s="1629"/>
      <c r="G106" s="1627"/>
      <c r="H106" s="1630"/>
      <c r="I106" s="1631"/>
      <c r="J106" s="1627"/>
      <c r="K106" s="1628"/>
      <c r="L106" s="195"/>
      <c r="M106" s="196"/>
      <c r="N106" s="196"/>
      <c r="O106" s="196"/>
      <c r="P106" s="196"/>
      <c r="Q106" s="196"/>
      <c r="R106" s="196"/>
      <c r="S106" s="196"/>
      <c r="T106" s="196"/>
      <c r="U106" s="196"/>
      <c r="V106" s="196"/>
      <c r="W106" s="196"/>
    </row>
    <row r="107" spans="1:23" ht="11.25" hidden="1" customHeight="1" x14ac:dyDescent="0.25">
      <c r="A107" s="1169">
        <f>'Org structure'!E104</f>
        <v>0</v>
      </c>
      <c r="B107" s="1046"/>
      <c r="C107" s="1627"/>
      <c r="D107" s="1627"/>
      <c r="E107" s="1628"/>
      <c r="F107" s="1629"/>
      <c r="G107" s="1627"/>
      <c r="H107" s="1630"/>
      <c r="I107" s="1631"/>
      <c r="J107" s="1627"/>
      <c r="K107" s="1628"/>
      <c r="L107" s="195"/>
      <c r="M107" s="196"/>
      <c r="N107" s="196"/>
      <c r="O107" s="196"/>
      <c r="P107" s="196"/>
      <c r="Q107" s="196"/>
      <c r="R107" s="196"/>
      <c r="S107" s="196"/>
      <c r="T107" s="196"/>
      <c r="U107" s="196"/>
      <c r="V107" s="196"/>
      <c r="W107" s="196"/>
    </row>
    <row r="108" spans="1:23" ht="11.25" hidden="1" customHeight="1" x14ac:dyDescent="0.25">
      <c r="A108" s="1169">
        <f>'Org structure'!E105</f>
        <v>0</v>
      </c>
      <c r="B108" s="1046"/>
      <c r="C108" s="1627"/>
      <c r="D108" s="1627"/>
      <c r="E108" s="1628"/>
      <c r="F108" s="1629"/>
      <c r="G108" s="1627"/>
      <c r="H108" s="1630"/>
      <c r="I108" s="1631"/>
      <c r="J108" s="1627"/>
      <c r="K108" s="1628"/>
      <c r="L108" s="195"/>
      <c r="M108" s="196"/>
      <c r="N108" s="196"/>
      <c r="O108" s="196"/>
      <c r="P108" s="196"/>
      <c r="Q108" s="196"/>
      <c r="R108" s="196"/>
      <c r="S108" s="196"/>
      <c r="T108" s="196"/>
      <c r="U108" s="196"/>
      <c r="V108" s="196"/>
      <c r="W108" s="196"/>
    </row>
    <row r="109" spans="1:23" ht="11.25" hidden="1" customHeight="1" x14ac:dyDescent="0.25">
      <c r="A109" s="1169">
        <f>'Org structure'!E106</f>
        <v>0</v>
      </c>
      <c r="B109" s="1046"/>
      <c r="C109" s="1627"/>
      <c r="D109" s="1627"/>
      <c r="E109" s="1628"/>
      <c r="F109" s="1629"/>
      <c r="G109" s="1627"/>
      <c r="H109" s="1630"/>
      <c r="I109" s="1631"/>
      <c r="J109" s="1627"/>
      <c r="K109" s="1628"/>
      <c r="L109" s="195"/>
      <c r="M109" s="196"/>
      <c r="N109" s="196"/>
      <c r="O109" s="196"/>
      <c r="P109" s="196"/>
      <c r="Q109" s="196"/>
      <c r="R109" s="196"/>
      <c r="S109" s="196"/>
      <c r="T109" s="196"/>
      <c r="U109" s="196"/>
      <c r="V109" s="196"/>
      <c r="W109" s="196"/>
    </row>
    <row r="110" spans="1:23" ht="11.25" hidden="1" customHeight="1" x14ac:dyDescent="0.25">
      <c r="A110" s="1169">
        <f>'Org structure'!E107</f>
        <v>0</v>
      </c>
      <c r="B110" s="1046"/>
      <c r="C110" s="1627"/>
      <c r="D110" s="1627"/>
      <c r="E110" s="1628"/>
      <c r="F110" s="1629"/>
      <c r="G110" s="1627"/>
      <c r="H110" s="1630"/>
      <c r="I110" s="1631"/>
      <c r="J110" s="1627"/>
      <c r="K110" s="1628"/>
      <c r="L110" s="195"/>
      <c r="M110" s="196"/>
      <c r="N110" s="196"/>
      <c r="O110" s="196"/>
      <c r="P110" s="196"/>
      <c r="Q110" s="196"/>
      <c r="R110" s="196"/>
      <c r="S110" s="196"/>
      <c r="T110" s="196"/>
      <c r="U110" s="196"/>
      <c r="V110" s="196"/>
      <c r="W110" s="196"/>
    </row>
    <row r="111" spans="1:23" ht="11.25" hidden="1" customHeight="1" x14ac:dyDescent="0.25">
      <c r="A111" s="1169">
        <f>'Org structure'!E108</f>
        <v>0</v>
      </c>
      <c r="B111" s="1046"/>
      <c r="C111" s="1627"/>
      <c r="D111" s="1627"/>
      <c r="E111" s="1628"/>
      <c r="F111" s="1629"/>
      <c r="G111" s="1627"/>
      <c r="H111" s="1630"/>
      <c r="I111" s="1631"/>
      <c r="J111" s="1627"/>
      <c r="K111" s="1628"/>
      <c r="L111" s="195"/>
      <c r="M111" s="196"/>
      <c r="N111" s="196"/>
      <c r="O111" s="196"/>
      <c r="P111" s="196"/>
      <c r="Q111" s="196"/>
      <c r="R111" s="196"/>
      <c r="S111" s="196"/>
      <c r="T111" s="196"/>
      <c r="U111" s="196"/>
      <c r="V111" s="196"/>
      <c r="W111" s="196"/>
    </row>
    <row r="112" spans="1:23" ht="11.25" hidden="1" customHeight="1" x14ac:dyDescent="0.25">
      <c r="A112" s="1169">
        <f>'Org structure'!E109</f>
        <v>0</v>
      </c>
      <c r="B112" s="1046"/>
      <c r="C112" s="1627"/>
      <c r="D112" s="1627"/>
      <c r="E112" s="1628"/>
      <c r="F112" s="1629"/>
      <c r="G112" s="1627"/>
      <c r="H112" s="1630"/>
      <c r="I112" s="1631"/>
      <c r="J112" s="1627"/>
      <c r="K112" s="1628"/>
      <c r="L112" s="195"/>
      <c r="M112" s="196"/>
      <c r="N112" s="196"/>
      <c r="O112" s="196"/>
      <c r="P112" s="196"/>
      <c r="Q112" s="196"/>
      <c r="R112" s="196"/>
      <c r="S112" s="196"/>
      <c r="T112" s="196"/>
      <c r="U112" s="196"/>
      <c r="V112" s="196"/>
      <c r="W112" s="196"/>
    </row>
    <row r="113" spans="1:23" ht="11.25" hidden="1" customHeight="1" x14ac:dyDescent="0.25">
      <c r="A113" s="1169">
        <f>'Org structure'!E110</f>
        <v>0</v>
      </c>
      <c r="B113" s="1046"/>
      <c r="C113" s="1627"/>
      <c r="D113" s="1627"/>
      <c r="E113" s="1628"/>
      <c r="F113" s="1629"/>
      <c r="G113" s="1627"/>
      <c r="H113" s="1630"/>
      <c r="I113" s="1631"/>
      <c r="J113" s="1627"/>
      <c r="K113" s="1628"/>
      <c r="L113" s="195"/>
      <c r="M113" s="196"/>
      <c r="N113" s="196"/>
      <c r="O113" s="196"/>
      <c r="P113" s="196"/>
      <c r="Q113" s="196"/>
      <c r="R113" s="196"/>
      <c r="S113" s="196"/>
      <c r="T113" s="196"/>
      <c r="U113" s="196"/>
      <c r="V113" s="196"/>
      <c r="W113" s="196"/>
    </row>
    <row r="114" spans="1:23" ht="11.25" hidden="1" customHeight="1" x14ac:dyDescent="0.25">
      <c r="A114" s="1169">
        <f>'Org structure'!E111</f>
        <v>0</v>
      </c>
      <c r="B114" s="1046"/>
      <c r="C114" s="1627"/>
      <c r="D114" s="1627"/>
      <c r="E114" s="1628"/>
      <c r="F114" s="1629"/>
      <c r="G114" s="1627"/>
      <c r="H114" s="1630"/>
      <c r="I114" s="1631"/>
      <c r="J114" s="1627"/>
      <c r="K114" s="1628"/>
      <c r="L114" s="195"/>
      <c r="M114" s="196"/>
      <c r="N114" s="196"/>
      <c r="O114" s="196"/>
      <c r="P114" s="196"/>
      <c r="Q114" s="196"/>
      <c r="R114" s="196"/>
      <c r="S114" s="196"/>
      <c r="T114" s="196"/>
      <c r="U114" s="196"/>
      <c r="V114" s="196"/>
      <c r="W114" s="196"/>
    </row>
    <row r="115" spans="1:23" ht="15" hidden="1" customHeight="1" x14ac:dyDescent="0.25">
      <c r="A115" s="2205" t="str">
        <f>'Org structure'!A12</f>
        <v>Vote 11 - [NAME OF VOTE 11]</v>
      </c>
      <c r="B115" s="1046"/>
      <c r="C115" s="976">
        <f>SUM(C116:C125)</f>
        <v>0</v>
      </c>
      <c r="D115" s="976">
        <f t="shared" ref="D115:K115" si="11">SUM(D116:D125)</f>
        <v>0</v>
      </c>
      <c r="E115" s="977">
        <f t="shared" si="11"/>
        <v>0</v>
      </c>
      <c r="F115" s="978">
        <f t="shared" si="11"/>
        <v>0</v>
      </c>
      <c r="G115" s="976">
        <f t="shared" si="11"/>
        <v>0</v>
      </c>
      <c r="H115" s="979">
        <f t="shared" si="11"/>
        <v>0</v>
      </c>
      <c r="I115" s="980">
        <f t="shared" si="11"/>
        <v>0</v>
      </c>
      <c r="J115" s="976">
        <f t="shared" si="11"/>
        <v>0</v>
      </c>
      <c r="K115" s="977">
        <f t="shared" si="11"/>
        <v>0</v>
      </c>
      <c r="L115" s="195"/>
      <c r="M115" s="196"/>
      <c r="N115" s="196"/>
      <c r="O115" s="196"/>
      <c r="P115" s="196"/>
      <c r="Q115" s="196"/>
      <c r="R115" s="196"/>
      <c r="S115" s="196"/>
      <c r="T115" s="196"/>
      <c r="U115" s="196"/>
      <c r="V115" s="196"/>
      <c r="W115" s="196"/>
    </row>
    <row r="116" spans="1:23" ht="11.25" hidden="1" customHeight="1" x14ac:dyDescent="0.25">
      <c r="A116" s="1169" t="str">
        <f>'Org structure'!E113</f>
        <v>11.1 - [Name of sub-vote]</v>
      </c>
      <c r="B116" s="1046"/>
      <c r="C116" s="1627"/>
      <c r="D116" s="1627"/>
      <c r="E116" s="1628"/>
      <c r="F116" s="1629"/>
      <c r="G116" s="1627"/>
      <c r="H116" s="1630"/>
      <c r="I116" s="1631"/>
      <c r="J116" s="1627"/>
      <c r="K116" s="1628"/>
      <c r="L116" s="195"/>
      <c r="M116" s="196"/>
      <c r="N116" s="196"/>
      <c r="O116" s="196"/>
      <c r="P116" s="196"/>
      <c r="Q116" s="196"/>
      <c r="R116" s="196"/>
      <c r="S116" s="196"/>
      <c r="T116" s="196"/>
      <c r="U116" s="196"/>
      <c r="V116" s="196"/>
      <c r="W116" s="196"/>
    </row>
    <row r="117" spans="1:23" ht="11.25" hidden="1" customHeight="1" x14ac:dyDescent="0.25">
      <c r="A117" s="1169">
        <f>'Org structure'!E114</f>
        <v>0</v>
      </c>
      <c r="B117" s="1046"/>
      <c r="C117" s="1627"/>
      <c r="D117" s="1627"/>
      <c r="E117" s="1628"/>
      <c r="F117" s="1629"/>
      <c r="G117" s="1627"/>
      <c r="H117" s="1630"/>
      <c r="I117" s="1631"/>
      <c r="J117" s="1627"/>
      <c r="K117" s="1628"/>
      <c r="L117" s="195"/>
      <c r="M117" s="196"/>
      <c r="N117" s="196"/>
      <c r="O117" s="196"/>
      <c r="P117" s="196"/>
      <c r="Q117" s="196"/>
      <c r="R117" s="196"/>
      <c r="S117" s="196"/>
      <c r="T117" s="196"/>
      <c r="U117" s="196"/>
      <c r="V117" s="196"/>
      <c r="W117" s="196"/>
    </row>
    <row r="118" spans="1:23" ht="11.25" hidden="1" customHeight="1" x14ac:dyDescent="0.25">
      <c r="A118" s="1169">
        <f>'Org structure'!E115</f>
        <v>0</v>
      </c>
      <c r="B118" s="1046"/>
      <c r="C118" s="1627"/>
      <c r="D118" s="1627"/>
      <c r="E118" s="1628"/>
      <c r="F118" s="1629"/>
      <c r="G118" s="1627"/>
      <c r="H118" s="1630"/>
      <c r="I118" s="1631"/>
      <c r="J118" s="1627"/>
      <c r="K118" s="1628"/>
      <c r="L118" s="195"/>
      <c r="M118" s="196"/>
      <c r="N118" s="196"/>
      <c r="O118" s="196"/>
      <c r="P118" s="196"/>
      <c r="Q118" s="196"/>
      <c r="R118" s="196"/>
      <c r="S118" s="196"/>
      <c r="T118" s="196"/>
      <c r="U118" s="196"/>
      <c r="V118" s="196"/>
      <c r="W118" s="196"/>
    </row>
    <row r="119" spans="1:23" ht="11.25" hidden="1" customHeight="1" x14ac:dyDescent="0.25">
      <c r="A119" s="1169">
        <f>'Org structure'!E116</f>
        <v>0</v>
      </c>
      <c r="B119" s="1046"/>
      <c r="C119" s="1627"/>
      <c r="D119" s="1627"/>
      <c r="E119" s="1628"/>
      <c r="F119" s="1629"/>
      <c r="G119" s="1627"/>
      <c r="H119" s="1630"/>
      <c r="I119" s="1631"/>
      <c r="J119" s="1627"/>
      <c r="K119" s="1628"/>
      <c r="L119" s="195"/>
      <c r="M119" s="196"/>
      <c r="N119" s="196"/>
      <c r="O119" s="196"/>
      <c r="P119" s="196"/>
      <c r="Q119" s="196"/>
      <c r="R119" s="196"/>
      <c r="S119" s="196"/>
      <c r="T119" s="196"/>
      <c r="U119" s="196"/>
      <c r="V119" s="196"/>
      <c r="W119" s="196"/>
    </row>
    <row r="120" spans="1:23" ht="11.25" hidden="1" customHeight="1" x14ac:dyDescent="0.25">
      <c r="A120" s="1169">
        <f>'Org structure'!E117</f>
        <v>0</v>
      </c>
      <c r="B120" s="1046"/>
      <c r="C120" s="1627"/>
      <c r="D120" s="1627"/>
      <c r="E120" s="1628"/>
      <c r="F120" s="1629"/>
      <c r="G120" s="1627"/>
      <c r="H120" s="1630"/>
      <c r="I120" s="1631"/>
      <c r="J120" s="1627"/>
      <c r="K120" s="1628"/>
      <c r="L120" s="195"/>
      <c r="M120" s="196"/>
      <c r="N120" s="196"/>
      <c r="O120" s="196"/>
      <c r="P120" s="196"/>
      <c r="Q120" s="196"/>
      <c r="R120" s="196"/>
      <c r="S120" s="196"/>
      <c r="T120" s="196"/>
      <c r="U120" s="196"/>
      <c r="V120" s="196"/>
      <c r="W120" s="196"/>
    </row>
    <row r="121" spans="1:23" ht="11.25" hidden="1" customHeight="1" x14ac:dyDescent="0.25">
      <c r="A121" s="1169">
        <f>'Org structure'!E118</f>
        <v>0</v>
      </c>
      <c r="B121" s="1046"/>
      <c r="C121" s="1627"/>
      <c r="D121" s="1627"/>
      <c r="E121" s="1628"/>
      <c r="F121" s="1629"/>
      <c r="G121" s="1627"/>
      <c r="H121" s="1630"/>
      <c r="I121" s="1631"/>
      <c r="J121" s="1627"/>
      <c r="K121" s="1628"/>
      <c r="L121" s="195"/>
      <c r="M121" s="196"/>
      <c r="N121" s="196"/>
      <c r="O121" s="196"/>
      <c r="P121" s="196"/>
      <c r="Q121" s="196"/>
      <c r="R121" s="196"/>
      <c r="S121" s="196"/>
      <c r="T121" s="196"/>
      <c r="U121" s="196"/>
      <c r="V121" s="196"/>
      <c r="W121" s="196"/>
    </row>
    <row r="122" spans="1:23" ht="11.25" hidden="1" customHeight="1" x14ac:dyDescent="0.25">
      <c r="A122" s="1169">
        <f>'Org structure'!E119</f>
        <v>0</v>
      </c>
      <c r="B122" s="1046"/>
      <c r="C122" s="1627"/>
      <c r="D122" s="1627"/>
      <c r="E122" s="1628"/>
      <c r="F122" s="1629"/>
      <c r="G122" s="1627"/>
      <c r="H122" s="1630"/>
      <c r="I122" s="1631"/>
      <c r="J122" s="1627"/>
      <c r="K122" s="1628"/>
      <c r="L122" s="195"/>
      <c r="M122" s="196"/>
      <c r="N122" s="196"/>
      <c r="O122" s="196"/>
      <c r="P122" s="196"/>
      <c r="Q122" s="196"/>
      <c r="R122" s="196"/>
      <c r="S122" s="196"/>
      <c r="T122" s="196"/>
      <c r="U122" s="196"/>
      <c r="V122" s="196"/>
      <c r="W122" s="196"/>
    </row>
    <row r="123" spans="1:23" ht="11.25" hidden="1" customHeight="1" x14ac:dyDescent="0.25">
      <c r="A123" s="1169">
        <f>'Org structure'!E120</f>
        <v>0</v>
      </c>
      <c r="B123" s="1046"/>
      <c r="C123" s="1627"/>
      <c r="D123" s="1627"/>
      <c r="E123" s="1628"/>
      <c r="F123" s="1629"/>
      <c r="G123" s="1627"/>
      <c r="H123" s="1630"/>
      <c r="I123" s="1631"/>
      <c r="J123" s="1627"/>
      <c r="K123" s="1628"/>
      <c r="L123" s="195"/>
      <c r="M123" s="196"/>
      <c r="N123" s="196"/>
      <c r="O123" s="196"/>
      <c r="P123" s="196"/>
      <c r="Q123" s="196"/>
      <c r="R123" s="196"/>
      <c r="S123" s="196"/>
      <c r="T123" s="196"/>
      <c r="U123" s="196"/>
      <c r="V123" s="196"/>
      <c r="W123" s="196"/>
    </row>
    <row r="124" spans="1:23" ht="11.25" hidden="1" customHeight="1" x14ac:dyDescent="0.25">
      <c r="A124" s="1169">
        <f>'Org structure'!E121</f>
        <v>0</v>
      </c>
      <c r="B124" s="1046"/>
      <c r="C124" s="1627"/>
      <c r="D124" s="1627"/>
      <c r="E124" s="1628"/>
      <c r="F124" s="1629"/>
      <c r="G124" s="1627"/>
      <c r="H124" s="1630"/>
      <c r="I124" s="1631"/>
      <c r="J124" s="1627"/>
      <c r="K124" s="1628"/>
      <c r="L124" s="195"/>
      <c r="M124" s="196"/>
      <c r="N124" s="196"/>
      <c r="O124" s="196"/>
      <c r="P124" s="196"/>
      <c r="Q124" s="196"/>
      <c r="R124" s="196"/>
      <c r="S124" s="196"/>
      <c r="T124" s="196"/>
      <c r="U124" s="196"/>
      <c r="V124" s="196"/>
      <c r="W124" s="196"/>
    </row>
    <row r="125" spans="1:23" ht="11.25" hidden="1" customHeight="1" x14ac:dyDescent="0.25">
      <c r="A125" s="1169">
        <f>'Org structure'!E122</f>
        <v>0</v>
      </c>
      <c r="B125" s="1046"/>
      <c r="C125" s="1627"/>
      <c r="D125" s="1627"/>
      <c r="E125" s="1628"/>
      <c r="F125" s="1629"/>
      <c r="G125" s="1627"/>
      <c r="H125" s="1630"/>
      <c r="I125" s="1631"/>
      <c r="J125" s="1627"/>
      <c r="K125" s="1628"/>
      <c r="L125" s="195"/>
      <c r="M125" s="196"/>
      <c r="N125" s="196"/>
      <c r="O125" s="196"/>
      <c r="P125" s="196"/>
      <c r="Q125" s="196"/>
      <c r="R125" s="196"/>
      <c r="S125" s="196"/>
      <c r="T125" s="196"/>
      <c r="U125" s="196"/>
      <c r="V125" s="196"/>
      <c r="W125" s="196"/>
    </row>
    <row r="126" spans="1:23" ht="15" hidden="1" customHeight="1" x14ac:dyDescent="0.25">
      <c r="A126" s="2205" t="str">
        <f>'Org structure'!A13</f>
        <v>Vote 12 - [NAME OF VOTE 12]</v>
      </c>
      <c r="B126" s="1046"/>
      <c r="C126" s="976">
        <f>SUM(C127:C136)</f>
        <v>0</v>
      </c>
      <c r="D126" s="976">
        <f t="shared" ref="D126:K126" si="12">SUM(D127:D136)</f>
        <v>0</v>
      </c>
      <c r="E126" s="977">
        <f t="shared" si="12"/>
        <v>0</v>
      </c>
      <c r="F126" s="978">
        <f t="shared" si="12"/>
        <v>0</v>
      </c>
      <c r="G126" s="976">
        <f t="shared" si="12"/>
        <v>0</v>
      </c>
      <c r="H126" s="979">
        <f t="shared" si="12"/>
        <v>0</v>
      </c>
      <c r="I126" s="980">
        <f t="shared" si="12"/>
        <v>0</v>
      </c>
      <c r="J126" s="976">
        <f t="shared" si="12"/>
        <v>0</v>
      </c>
      <c r="K126" s="977">
        <f t="shared" si="12"/>
        <v>0</v>
      </c>
      <c r="L126" s="195"/>
      <c r="M126" s="196"/>
      <c r="N126" s="196"/>
      <c r="O126" s="196"/>
      <c r="P126" s="196"/>
      <c r="Q126" s="196"/>
      <c r="R126" s="196"/>
      <c r="S126" s="196"/>
      <c r="T126" s="196"/>
      <c r="U126" s="196"/>
      <c r="V126" s="196"/>
      <c r="W126" s="196"/>
    </row>
    <row r="127" spans="1:23" ht="11.25" hidden="1" customHeight="1" x14ac:dyDescent="0.25">
      <c r="A127" s="1169" t="str">
        <f>'Org structure'!E124</f>
        <v>12.1 - [Name of sub-vote]</v>
      </c>
      <c r="B127" s="1046"/>
      <c r="C127" s="1627"/>
      <c r="D127" s="1627"/>
      <c r="E127" s="1628"/>
      <c r="F127" s="1629"/>
      <c r="G127" s="1627"/>
      <c r="H127" s="1630"/>
      <c r="I127" s="1631"/>
      <c r="J127" s="1627"/>
      <c r="K127" s="1628"/>
      <c r="L127" s="195"/>
      <c r="M127" s="196"/>
      <c r="N127" s="196"/>
      <c r="O127" s="196"/>
      <c r="P127" s="196"/>
      <c r="Q127" s="196"/>
      <c r="R127" s="196"/>
      <c r="S127" s="196"/>
      <c r="T127" s="196"/>
      <c r="U127" s="196"/>
      <c r="V127" s="196"/>
      <c r="W127" s="196"/>
    </row>
    <row r="128" spans="1:23" ht="11.25" hidden="1" customHeight="1" x14ac:dyDescent="0.25">
      <c r="A128" s="1169">
        <f>'Org structure'!E125</f>
        <v>0</v>
      </c>
      <c r="B128" s="1046"/>
      <c r="C128" s="1627"/>
      <c r="D128" s="1627"/>
      <c r="E128" s="1628"/>
      <c r="F128" s="1629"/>
      <c r="G128" s="1627"/>
      <c r="H128" s="1630"/>
      <c r="I128" s="1631"/>
      <c r="J128" s="1627"/>
      <c r="K128" s="1628"/>
      <c r="L128" s="195"/>
      <c r="M128" s="196"/>
      <c r="N128" s="196"/>
      <c r="O128" s="196"/>
      <c r="P128" s="196"/>
      <c r="Q128" s="196"/>
      <c r="R128" s="196"/>
      <c r="S128" s="196"/>
      <c r="T128" s="196"/>
      <c r="U128" s="196"/>
      <c r="V128" s="196"/>
      <c r="W128" s="196"/>
    </row>
    <row r="129" spans="1:23" ht="11.25" hidden="1" customHeight="1" x14ac:dyDescent="0.25">
      <c r="A129" s="1169">
        <f>'Org structure'!E126</f>
        <v>0</v>
      </c>
      <c r="B129" s="1046"/>
      <c r="C129" s="1627"/>
      <c r="D129" s="1627"/>
      <c r="E129" s="1628"/>
      <c r="F129" s="1629"/>
      <c r="G129" s="1627"/>
      <c r="H129" s="1630"/>
      <c r="I129" s="1631"/>
      <c r="J129" s="1627"/>
      <c r="K129" s="1628"/>
      <c r="L129" s="195"/>
      <c r="M129" s="196"/>
      <c r="N129" s="196"/>
      <c r="O129" s="196"/>
      <c r="P129" s="196"/>
      <c r="Q129" s="196"/>
      <c r="R129" s="196"/>
      <c r="S129" s="196"/>
      <c r="T129" s="196"/>
      <c r="U129" s="196"/>
      <c r="V129" s="196"/>
      <c r="W129" s="196"/>
    </row>
    <row r="130" spans="1:23" ht="11.25" hidden="1" customHeight="1" x14ac:dyDescent="0.25">
      <c r="A130" s="1169">
        <f>'Org structure'!E127</f>
        <v>0</v>
      </c>
      <c r="B130" s="1046"/>
      <c r="C130" s="1627"/>
      <c r="D130" s="1627"/>
      <c r="E130" s="1628"/>
      <c r="F130" s="1629"/>
      <c r="G130" s="1627"/>
      <c r="H130" s="1630"/>
      <c r="I130" s="1631"/>
      <c r="J130" s="1627"/>
      <c r="K130" s="1628"/>
      <c r="L130" s="195"/>
      <c r="M130" s="196"/>
      <c r="N130" s="196"/>
      <c r="O130" s="196"/>
      <c r="P130" s="196"/>
      <c r="Q130" s="196"/>
      <c r="R130" s="196"/>
      <c r="S130" s="196"/>
      <c r="T130" s="196"/>
      <c r="U130" s="196"/>
      <c r="V130" s="196"/>
      <c r="W130" s="196"/>
    </row>
    <row r="131" spans="1:23" ht="11.25" hidden="1" customHeight="1" x14ac:dyDescent="0.25">
      <c r="A131" s="1169">
        <f>'Org structure'!E128</f>
        <v>0</v>
      </c>
      <c r="B131" s="1046"/>
      <c r="C131" s="1627"/>
      <c r="D131" s="1627"/>
      <c r="E131" s="1628"/>
      <c r="F131" s="1629"/>
      <c r="G131" s="1627"/>
      <c r="H131" s="1630"/>
      <c r="I131" s="1631"/>
      <c r="J131" s="1627"/>
      <c r="K131" s="1628"/>
      <c r="L131" s="195"/>
      <c r="M131" s="196"/>
      <c r="N131" s="196"/>
      <c r="O131" s="196"/>
      <c r="P131" s="196"/>
      <c r="Q131" s="196"/>
      <c r="R131" s="196"/>
      <c r="S131" s="196"/>
      <c r="T131" s="196"/>
      <c r="U131" s="196"/>
      <c r="V131" s="196"/>
      <c r="W131" s="196"/>
    </row>
    <row r="132" spans="1:23" ht="11.25" hidden="1" customHeight="1" x14ac:dyDescent="0.25">
      <c r="A132" s="1169">
        <f>'Org structure'!E129</f>
        <v>0</v>
      </c>
      <c r="B132" s="1046"/>
      <c r="C132" s="1627"/>
      <c r="D132" s="1627"/>
      <c r="E132" s="1628"/>
      <c r="F132" s="1629"/>
      <c r="G132" s="1627"/>
      <c r="H132" s="1630"/>
      <c r="I132" s="1631"/>
      <c r="J132" s="1627"/>
      <c r="K132" s="1628"/>
      <c r="L132" s="195"/>
      <c r="M132" s="196"/>
      <c r="N132" s="196"/>
      <c r="O132" s="196"/>
      <c r="P132" s="196"/>
      <c r="Q132" s="196"/>
      <c r="R132" s="196"/>
      <c r="S132" s="196"/>
      <c r="T132" s="196"/>
      <c r="U132" s="196"/>
      <c r="V132" s="196"/>
      <c r="W132" s="196"/>
    </row>
    <row r="133" spans="1:23" ht="11.25" hidden="1" customHeight="1" x14ac:dyDescent="0.25">
      <c r="A133" s="1169">
        <f>'Org structure'!E130</f>
        <v>0</v>
      </c>
      <c r="B133" s="1046"/>
      <c r="C133" s="1627"/>
      <c r="D133" s="1627"/>
      <c r="E133" s="1628"/>
      <c r="F133" s="1629"/>
      <c r="G133" s="1627"/>
      <c r="H133" s="1630"/>
      <c r="I133" s="1631"/>
      <c r="J133" s="1627"/>
      <c r="K133" s="1628"/>
      <c r="L133" s="195"/>
      <c r="M133" s="196"/>
      <c r="N133" s="196"/>
      <c r="O133" s="196"/>
      <c r="P133" s="196"/>
      <c r="Q133" s="196"/>
      <c r="R133" s="196"/>
      <c r="S133" s="196"/>
      <c r="T133" s="196"/>
      <c r="U133" s="196"/>
      <c r="V133" s="196"/>
      <c r="W133" s="196"/>
    </row>
    <row r="134" spans="1:23" ht="11.25" hidden="1" customHeight="1" x14ac:dyDescent="0.25">
      <c r="A134" s="1169">
        <f>'Org structure'!E131</f>
        <v>0</v>
      </c>
      <c r="B134" s="1046"/>
      <c r="C134" s="1627"/>
      <c r="D134" s="1627"/>
      <c r="E134" s="1628"/>
      <c r="F134" s="1629"/>
      <c r="G134" s="1627"/>
      <c r="H134" s="1630"/>
      <c r="I134" s="1631"/>
      <c r="J134" s="1627"/>
      <c r="K134" s="1628"/>
      <c r="L134" s="195"/>
      <c r="M134" s="196"/>
      <c r="N134" s="196"/>
      <c r="O134" s="196"/>
      <c r="P134" s="196"/>
      <c r="Q134" s="196"/>
      <c r="R134" s="196"/>
      <c r="S134" s="196"/>
      <c r="T134" s="196"/>
      <c r="U134" s="196"/>
      <c r="V134" s="196"/>
      <c r="W134" s="196"/>
    </row>
    <row r="135" spans="1:23" ht="11.25" hidden="1" customHeight="1" x14ac:dyDescent="0.25">
      <c r="A135" s="1169">
        <f>'Org structure'!E132</f>
        <v>0</v>
      </c>
      <c r="B135" s="1046"/>
      <c r="C135" s="1627"/>
      <c r="D135" s="1627"/>
      <c r="E135" s="1628"/>
      <c r="F135" s="1629"/>
      <c r="G135" s="1627"/>
      <c r="H135" s="1630"/>
      <c r="I135" s="1631"/>
      <c r="J135" s="1627"/>
      <c r="K135" s="1628"/>
      <c r="L135" s="195"/>
      <c r="M135" s="196"/>
      <c r="N135" s="196"/>
      <c r="O135" s="196"/>
      <c r="P135" s="196"/>
      <c r="Q135" s="196"/>
      <c r="R135" s="196"/>
      <c r="S135" s="196"/>
      <c r="T135" s="196"/>
      <c r="U135" s="196"/>
      <c r="V135" s="196"/>
      <c r="W135" s="196"/>
    </row>
    <row r="136" spans="1:23" ht="11.25" hidden="1" customHeight="1" x14ac:dyDescent="0.25">
      <c r="A136" s="1169">
        <f>'Org structure'!E133</f>
        <v>0</v>
      </c>
      <c r="B136" s="1046"/>
      <c r="C136" s="1627"/>
      <c r="D136" s="1627"/>
      <c r="E136" s="1628"/>
      <c r="F136" s="1629"/>
      <c r="G136" s="1627"/>
      <c r="H136" s="1630"/>
      <c r="I136" s="1631"/>
      <c r="J136" s="1627"/>
      <c r="K136" s="1628"/>
      <c r="L136" s="195"/>
      <c r="M136" s="196"/>
      <c r="N136" s="196"/>
      <c r="O136" s="196"/>
      <c r="P136" s="196"/>
      <c r="Q136" s="196"/>
      <c r="R136" s="196"/>
      <c r="S136" s="196"/>
      <c r="T136" s="196"/>
      <c r="U136" s="196"/>
      <c r="V136" s="196"/>
      <c r="W136" s="196"/>
    </row>
    <row r="137" spans="1:23" ht="15" hidden="1" customHeight="1" x14ac:dyDescent="0.25">
      <c r="A137" s="2205" t="str">
        <f>'Org structure'!A14</f>
        <v>Vote 13 - [NAME OF VOTE 13]</v>
      </c>
      <c r="B137" s="1046"/>
      <c r="C137" s="976">
        <f>SUM(C138:C147)</f>
        <v>0</v>
      </c>
      <c r="D137" s="976">
        <f t="shared" ref="D137:K137" si="13">SUM(D138:D147)</f>
        <v>0</v>
      </c>
      <c r="E137" s="977">
        <f t="shared" si="13"/>
        <v>0</v>
      </c>
      <c r="F137" s="978">
        <f t="shared" si="13"/>
        <v>0</v>
      </c>
      <c r="G137" s="976">
        <f t="shared" si="13"/>
        <v>0</v>
      </c>
      <c r="H137" s="979">
        <f t="shared" si="13"/>
        <v>0</v>
      </c>
      <c r="I137" s="980">
        <f t="shared" si="13"/>
        <v>0</v>
      </c>
      <c r="J137" s="976">
        <f t="shared" si="13"/>
        <v>0</v>
      </c>
      <c r="K137" s="977">
        <f t="shared" si="13"/>
        <v>0</v>
      </c>
      <c r="L137" s="195"/>
      <c r="M137" s="196"/>
      <c r="N137" s="196"/>
      <c r="O137" s="196"/>
      <c r="P137" s="196"/>
      <c r="Q137" s="196"/>
      <c r="R137" s="196"/>
      <c r="S137" s="196"/>
      <c r="T137" s="196"/>
      <c r="U137" s="196"/>
      <c r="V137" s="196"/>
      <c r="W137" s="196"/>
    </row>
    <row r="138" spans="1:23" ht="11.25" hidden="1" customHeight="1" x14ac:dyDescent="0.25">
      <c r="A138" s="1169" t="str">
        <f>'Org structure'!E135</f>
        <v>13.1 - [Name of sub-vote]</v>
      </c>
      <c r="B138" s="1046"/>
      <c r="C138" s="1627"/>
      <c r="D138" s="1627"/>
      <c r="E138" s="1628"/>
      <c r="F138" s="1629"/>
      <c r="G138" s="1627"/>
      <c r="H138" s="1630"/>
      <c r="I138" s="1631"/>
      <c r="J138" s="1627"/>
      <c r="K138" s="1628"/>
      <c r="L138" s="195"/>
      <c r="M138" s="196"/>
      <c r="N138" s="196"/>
      <c r="O138" s="196"/>
      <c r="P138" s="196"/>
      <c r="Q138" s="196"/>
      <c r="R138" s="196"/>
      <c r="S138" s="196"/>
      <c r="T138" s="196"/>
      <c r="U138" s="196"/>
      <c r="V138" s="196"/>
      <c r="W138" s="196"/>
    </row>
    <row r="139" spans="1:23" ht="11.25" hidden="1" customHeight="1" x14ac:dyDescent="0.25">
      <c r="A139" s="1169">
        <f>'Org structure'!E136</f>
        <v>0</v>
      </c>
      <c r="B139" s="1046"/>
      <c r="C139" s="1627"/>
      <c r="D139" s="1627"/>
      <c r="E139" s="1628"/>
      <c r="F139" s="1629"/>
      <c r="G139" s="1627"/>
      <c r="H139" s="1630"/>
      <c r="I139" s="1631"/>
      <c r="J139" s="1627"/>
      <c r="K139" s="1628"/>
      <c r="L139" s="195"/>
      <c r="M139" s="196"/>
      <c r="N139" s="196"/>
      <c r="O139" s="196"/>
      <c r="P139" s="196"/>
      <c r="Q139" s="196"/>
      <c r="R139" s="196"/>
      <c r="S139" s="196"/>
      <c r="T139" s="196"/>
      <c r="U139" s="196"/>
      <c r="V139" s="196"/>
      <c r="W139" s="196"/>
    </row>
    <row r="140" spans="1:23" ht="11.25" hidden="1" customHeight="1" x14ac:dyDescent="0.25">
      <c r="A140" s="1169">
        <f>'Org structure'!E137</f>
        <v>0</v>
      </c>
      <c r="B140" s="1046"/>
      <c r="C140" s="1627"/>
      <c r="D140" s="1627"/>
      <c r="E140" s="1628"/>
      <c r="F140" s="1629"/>
      <c r="G140" s="1627"/>
      <c r="H140" s="1630"/>
      <c r="I140" s="1631"/>
      <c r="J140" s="1627"/>
      <c r="K140" s="1628"/>
      <c r="L140" s="195"/>
      <c r="M140" s="196"/>
      <c r="N140" s="196"/>
      <c r="O140" s="196"/>
      <c r="P140" s="196"/>
      <c r="Q140" s="196"/>
      <c r="R140" s="196"/>
      <c r="S140" s="196"/>
      <c r="T140" s="196"/>
      <c r="U140" s="196"/>
      <c r="V140" s="196"/>
      <c r="W140" s="196"/>
    </row>
    <row r="141" spans="1:23" ht="11.25" hidden="1" customHeight="1" x14ac:dyDescent="0.25">
      <c r="A141" s="1169">
        <f>'Org structure'!E138</f>
        <v>0</v>
      </c>
      <c r="B141" s="1046"/>
      <c r="C141" s="1627"/>
      <c r="D141" s="1627"/>
      <c r="E141" s="1628"/>
      <c r="F141" s="1629"/>
      <c r="G141" s="1627"/>
      <c r="H141" s="1630"/>
      <c r="I141" s="1631"/>
      <c r="J141" s="1627"/>
      <c r="K141" s="1628"/>
      <c r="L141" s="195"/>
      <c r="M141" s="196"/>
      <c r="N141" s="196"/>
      <c r="O141" s="196"/>
      <c r="P141" s="196"/>
      <c r="Q141" s="196"/>
      <c r="R141" s="196"/>
      <c r="S141" s="196"/>
      <c r="T141" s="196"/>
      <c r="U141" s="196"/>
      <c r="V141" s="196"/>
      <c r="W141" s="196"/>
    </row>
    <row r="142" spans="1:23" ht="11.25" hidden="1" customHeight="1" x14ac:dyDescent="0.25">
      <c r="A142" s="1169">
        <f>'Org structure'!E139</f>
        <v>0</v>
      </c>
      <c r="B142" s="1046"/>
      <c r="C142" s="1627"/>
      <c r="D142" s="1627"/>
      <c r="E142" s="1628"/>
      <c r="F142" s="1629"/>
      <c r="G142" s="1627"/>
      <c r="H142" s="1630"/>
      <c r="I142" s="1631"/>
      <c r="J142" s="1627"/>
      <c r="K142" s="1628"/>
      <c r="L142" s="195"/>
      <c r="M142" s="196"/>
      <c r="N142" s="196"/>
      <c r="O142" s="196"/>
      <c r="P142" s="196"/>
      <c r="Q142" s="196"/>
      <c r="R142" s="196"/>
      <c r="S142" s="196"/>
      <c r="T142" s="196"/>
      <c r="U142" s="196"/>
      <c r="V142" s="196"/>
      <c r="W142" s="196"/>
    </row>
    <row r="143" spans="1:23" ht="11.25" hidden="1" customHeight="1" x14ac:dyDescent="0.25">
      <c r="A143" s="1169">
        <f>'Org structure'!E140</f>
        <v>0</v>
      </c>
      <c r="B143" s="1046"/>
      <c r="C143" s="1627"/>
      <c r="D143" s="1627"/>
      <c r="E143" s="1628"/>
      <c r="F143" s="1629"/>
      <c r="G143" s="1627"/>
      <c r="H143" s="1630"/>
      <c r="I143" s="1631"/>
      <c r="J143" s="1627"/>
      <c r="K143" s="1628"/>
      <c r="L143" s="195"/>
      <c r="M143" s="196"/>
      <c r="N143" s="196"/>
      <c r="O143" s="196"/>
      <c r="P143" s="196"/>
      <c r="Q143" s="196"/>
      <c r="R143" s="196"/>
      <c r="S143" s="196"/>
      <c r="T143" s="196"/>
      <c r="U143" s="196"/>
      <c r="V143" s="196"/>
      <c r="W143" s="196"/>
    </row>
    <row r="144" spans="1:23" ht="11.25" hidden="1" customHeight="1" x14ac:dyDescent="0.25">
      <c r="A144" s="1169">
        <f>'Org structure'!E141</f>
        <v>0</v>
      </c>
      <c r="B144" s="1046"/>
      <c r="C144" s="1627"/>
      <c r="D144" s="1627"/>
      <c r="E144" s="1628"/>
      <c r="F144" s="1629"/>
      <c r="G144" s="1627"/>
      <c r="H144" s="1630"/>
      <c r="I144" s="1631"/>
      <c r="J144" s="1627"/>
      <c r="K144" s="1628"/>
      <c r="L144" s="195"/>
      <c r="M144" s="196"/>
      <c r="N144" s="196"/>
      <c r="O144" s="196"/>
      <c r="P144" s="196"/>
      <c r="Q144" s="196"/>
      <c r="R144" s="196"/>
      <c r="S144" s="196"/>
      <c r="T144" s="196"/>
      <c r="U144" s="196"/>
      <c r="V144" s="196"/>
      <c r="W144" s="196"/>
    </row>
    <row r="145" spans="1:23" ht="11.25" hidden="1" customHeight="1" x14ac:dyDescent="0.25">
      <c r="A145" s="1169">
        <f>'Org structure'!E142</f>
        <v>0</v>
      </c>
      <c r="B145" s="1046"/>
      <c r="C145" s="1627"/>
      <c r="D145" s="1627"/>
      <c r="E145" s="1628"/>
      <c r="F145" s="1629"/>
      <c r="G145" s="1627"/>
      <c r="H145" s="1630"/>
      <c r="I145" s="1631"/>
      <c r="J145" s="1627"/>
      <c r="K145" s="1628"/>
      <c r="L145" s="195"/>
      <c r="M145" s="196"/>
      <c r="N145" s="196"/>
      <c r="O145" s="196"/>
      <c r="P145" s="196"/>
      <c r="Q145" s="196"/>
      <c r="R145" s="196"/>
      <c r="S145" s="196"/>
      <c r="T145" s="196"/>
      <c r="U145" s="196"/>
      <c r="V145" s="196"/>
      <c r="W145" s="196"/>
    </row>
    <row r="146" spans="1:23" ht="11.25" hidden="1" customHeight="1" x14ac:dyDescent="0.25">
      <c r="A146" s="1169">
        <f>'Org structure'!E143</f>
        <v>0</v>
      </c>
      <c r="B146" s="1046"/>
      <c r="C146" s="1627"/>
      <c r="D146" s="1627"/>
      <c r="E146" s="1628"/>
      <c r="F146" s="1629"/>
      <c r="G146" s="1627"/>
      <c r="H146" s="1630"/>
      <c r="I146" s="1631"/>
      <c r="J146" s="1627"/>
      <c r="K146" s="1628"/>
      <c r="L146" s="195"/>
      <c r="M146" s="196"/>
      <c r="N146" s="196"/>
      <c r="O146" s="196"/>
      <c r="P146" s="196"/>
      <c r="Q146" s="196"/>
      <c r="R146" s="196"/>
      <c r="S146" s="196"/>
      <c r="T146" s="196"/>
      <c r="U146" s="196"/>
      <c r="V146" s="196"/>
      <c r="W146" s="196"/>
    </row>
    <row r="147" spans="1:23" ht="11.25" hidden="1" customHeight="1" x14ac:dyDescent="0.25">
      <c r="A147" s="1169">
        <f>'Org structure'!E144</f>
        <v>0</v>
      </c>
      <c r="B147" s="1046"/>
      <c r="C147" s="1627"/>
      <c r="D147" s="1627"/>
      <c r="E147" s="1628"/>
      <c r="F147" s="1629"/>
      <c r="G147" s="1627"/>
      <c r="H147" s="1630"/>
      <c r="I147" s="1631"/>
      <c r="J147" s="1627"/>
      <c r="K147" s="1628"/>
      <c r="L147" s="195"/>
      <c r="M147" s="196"/>
      <c r="N147" s="196"/>
      <c r="O147" s="196"/>
      <c r="P147" s="196"/>
      <c r="Q147" s="196"/>
      <c r="R147" s="196"/>
      <c r="S147" s="196"/>
      <c r="T147" s="196"/>
      <c r="U147" s="196"/>
      <c r="V147" s="196"/>
      <c r="W147" s="196"/>
    </row>
    <row r="148" spans="1:23" ht="15" hidden="1" customHeight="1" x14ac:dyDescent="0.25">
      <c r="A148" s="2205" t="str">
        <f>'Org structure'!A15</f>
        <v>Vote 14 - [NAME OF VOTE 14]</v>
      </c>
      <c r="B148" s="1046"/>
      <c r="C148" s="976">
        <f>SUM(C149:C158)</f>
        <v>0</v>
      </c>
      <c r="D148" s="976">
        <f t="shared" ref="D148:K148" si="14">SUM(D149:D158)</f>
        <v>0</v>
      </c>
      <c r="E148" s="977">
        <f t="shared" si="14"/>
        <v>0</v>
      </c>
      <c r="F148" s="978">
        <f t="shared" si="14"/>
        <v>0</v>
      </c>
      <c r="G148" s="976">
        <f t="shared" si="14"/>
        <v>0</v>
      </c>
      <c r="H148" s="979">
        <f t="shared" si="14"/>
        <v>0</v>
      </c>
      <c r="I148" s="980">
        <f t="shared" si="14"/>
        <v>0</v>
      </c>
      <c r="J148" s="976">
        <f t="shared" si="14"/>
        <v>0</v>
      </c>
      <c r="K148" s="977">
        <f t="shared" si="14"/>
        <v>0</v>
      </c>
      <c r="L148" s="195"/>
      <c r="M148" s="196"/>
      <c r="N148" s="196"/>
      <c r="O148" s="196"/>
      <c r="P148" s="196"/>
      <c r="Q148" s="196"/>
      <c r="R148" s="196"/>
      <c r="S148" s="196"/>
      <c r="T148" s="196"/>
      <c r="U148" s="196"/>
      <c r="V148" s="196"/>
      <c r="W148" s="196"/>
    </row>
    <row r="149" spans="1:23" ht="11.25" hidden="1" customHeight="1" x14ac:dyDescent="0.25">
      <c r="A149" s="1169" t="str">
        <f>'Org structure'!E146</f>
        <v>14.1 - [Name of sub-vote]</v>
      </c>
      <c r="B149" s="1046"/>
      <c r="C149" s="1627"/>
      <c r="D149" s="1627"/>
      <c r="E149" s="1628"/>
      <c r="F149" s="1629"/>
      <c r="G149" s="1627"/>
      <c r="H149" s="1630"/>
      <c r="I149" s="1631"/>
      <c r="J149" s="1627"/>
      <c r="K149" s="1628"/>
      <c r="L149" s="195"/>
      <c r="M149" s="196"/>
      <c r="N149" s="196"/>
      <c r="O149" s="196"/>
      <c r="P149" s="196"/>
      <c r="Q149" s="196"/>
      <c r="R149" s="196"/>
      <c r="S149" s="196"/>
      <c r="T149" s="196"/>
      <c r="U149" s="196"/>
      <c r="V149" s="196"/>
      <c r="W149" s="196"/>
    </row>
    <row r="150" spans="1:23" ht="11.25" hidden="1" customHeight="1" x14ac:dyDescent="0.25">
      <c r="A150" s="1169">
        <f>'Org structure'!E147</f>
        <v>0</v>
      </c>
      <c r="B150" s="1046"/>
      <c r="C150" s="1627"/>
      <c r="D150" s="1627"/>
      <c r="E150" s="1628"/>
      <c r="F150" s="1629"/>
      <c r="G150" s="1627"/>
      <c r="H150" s="1630"/>
      <c r="I150" s="1631"/>
      <c r="J150" s="1627"/>
      <c r="K150" s="1628"/>
      <c r="L150" s="195"/>
      <c r="M150" s="196"/>
      <c r="N150" s="196"/>
      <c r="O150" s="196"/>
      <c r="P150" s="196"/>
      <c r="Q150" s="196"/>
      <c r="R150" s="196"/>
      <c r="S150" s="196"/>
      <c r="T150" s="196"/>
      <c r="U150" s="196"/>
      <c r="V150" s="196"/>
      <c r="W150" s="196"/>
    </row>
    <row r="151" spans="1:23" ht="11.25" hidden="1" customHeight="1" x14ac:dyDescent="0.25">
      <c r="A151" s="1169">
        <f>'Org structure'!E148</f>
        <v>0</v>
      </c>
      <c r="B151" s="1046"/>
      <c r="C151" s="1627"/>
      <c r="D151" s="1627"/>
      <c r="E151" s="1628"/>
      <c r="F151" s="1629"/>
      <c r="G151" s="1627"/>
      <c r="H151" s="1630"/>
      <c r="I151" s="1631"/>
      <c r="J151" s="1627"/>
      <c r="K151" s="1628"/>
      <c r="L151" s="195"/>
      <c r="M151" s="196"/>
      <c r="N151" s="196"/>
      <c r="O151" s="196"/>
      <c r="P151" s="196"/>
      <c r="Q151" s="196"/>
      <c r="R151" s="196"/>
      <c r="S151" s="196"/>
      <c r="T151" s="196"/>
      <c r="U151" s="196"/>
      <c r="V151" s="196"/>
      <c r="W151" s="196"/>
    </row>
    <row r="152" spans="1:23" ht="11.25" hidden="1" customHeight="1" x14ac:dyDescent="0.25">
      <c r="A152" s="1169">
        <f>'Org structure'!E149</f>
        <v>0</v>
      </c>
      <c r="B152" s="1046"/>
      <c r="C152" s="1627"/>
      <c r="D152" s="1627"/>
      <c r="E152" s="1628"/>
      <c r="F152" s="1629"/>
      <c r="G152" s="1627"/>
      <c r="H152" s="1630"/>
      <c r="I152" s="1631"/>
      <c r="J152" s="1627"/>
      <c r="K152" s="1628"/>
      <c r="L152" s="195"/>
      <c r="M152" s="196"/>
      <c r="N152" s="196"/>
      <c r="O152" s="196"/>
      <c r="P152" s="196"/>
      <c r="Q152" s="196"/>
      <c r="R152" s="196"/>
      <c r="S152" s="196"/>
      <c r="T152" s="196"/>
      <c r="U152" s="196"/>
      <c r="V152" s="196"/>
      <c r="W152" s="196"/>
    </row>
    <row r="153" spans="1:23" ht="11.25" hidden="1" customHeight="1" x14ac:dyDescent="0.25">
      <c r="A153" s="1169">
        <f>'Org structure'!E150</f>
        <v>0</v>
      </c>
      <c r="B153" s="1046"/>
      <c r="C153" s="1627"/>
      <c r="D153" s="1627"/>
      <c r="E153" s="1628"/>
      <c r="F153" s="1629"/>
      <c r="G153" s="1627"/>
      <c r="H153" s="1630"/>
      <c r="I153" s="1631"/>
      <c r="J153" s="1627"/>
      <c r="K153" s="1628"/>
      <c r="L153" s="195"/>
      <c r="M153" s="196"/>
      <c r="N153" s="196"/>
      <c r="O153" s="196"/>
      <c r="P153" s="196"/>
      <c r="Q153" s="196"/>
      <c r="R153" s="196"/>
      <c r="S153" s="196"/>
      <c r="T153" s="196"/>
      <c r="U153" s="196"/>
      <c r="V153" s="196"/>
      <c r="W153" s="196"/>
    </row>
    <row r="154" spans="1:23" ht="11.25" hidden="1" customHeight="1" x14ac:dyDescent="0.25">
      <c r="A154" s="1169">
        <f>'Org structure'!E151</f>
        <v>0</v>
      </c>
      <c r="B154" s="1046"/>
      <c r="C154" s="1627"/>
      <c r="D154" s="1627"/>
      <c r="E154" s="1628"/>
      <c r="F154" s="1629"/>
      <c r="G154" s="1627"/>
      <c r="H154" s="1630"/>
      <c r="I154" s="1631"/>
      <c r="J154" s="1627"/>
      <c r="K154" s="1628"/>
      <c r="L154" s="195"/>
      <c r="M154" s="196"/>
      <c r="N154" s="196"/>
      <c r="O154" s="196"/>
      <c r="P154" s="196"/>
      <c r="Q154" s="196"/>
      <c r="R154" s="196"/>
      <c r="S154" s="196"/>
      <c r="T154" s="196"/>
      <c r="U154" s="196"/>
      <c r="V154" s="196"/>
      <c r="W154" s="196"/>
    </row>
    <row r="155" spans="1:23" ht="11.25" hidden="1" customHeight="1" x14ac:dyDescent="0.25">
      <c r="A155" s="1169">
        <f>'Org structure'!E152</f>
        <v>0</v>
      </c>
      <c r="B155" s="1046"/>
      <c r="C155" s="1627"/>
      <c r="D155" s="1627"/>
      <c r="E155" s="1628"/>
      <c r="F155" s="1629"/>
      <c r="G155" s="1627"/>
      <c r="H155" s="1630"/>
      <c r="I155" s="1631"/>
      <c r="J155" s="1627"/>
      <c r="K155" s="1628"/>
      <c r="L155" s="195"/>
      <c r="M155" s="196"/>
      <c r="N155" s="196"/>
      <c r="O155" s="196"/>
      <c r="P155" s="196"/>
      <c r="Q155" s="196"/>
      <c r="R155" s="196"/>
      <c r="S155" s="196"/>
      <c r="T155" s="196"/>
      <c r="U155" s="196"/>
      <c r="V155" s="196"/>
      <c r="W155" s="196"/>
    </row>
    <row r="156" spans="1:23" ht="11.25" hidden="1" customHeight="1" x14ac:dyDescent="0.25">
      <c r="A156" s="1169">
        <f>'Org structure'!E153</f>
        <v>0</v>
      </c>
      <c r="B156" s="1046"/>
      <c r="C156" s="1627"/>
      <c r="D156" s="1627"/>
      <c r="E156" s="1628"/>
      <c r="F156" s="1629"/>
      <c r="G156" s="1627"/>
      <c r="H156" s="1630"/>
      <c r="I156" s="1631"/>
      <c r="J156" s="1627"/>
      <c r="K156" s="1628"/>
      <c r="L156" s="195"/>
      <c r="M156" s="196"/>
      <c r="N156" s="196"/>
      <c r="O156" s="196"/>
      <c r="P156" s="196"/>
      <c r="Q156" s="196"/>
      <c r="R156" s="196"/>
      <c r="S156" s="196"/>
      <c r="T156" s="196"/>
      <c r="U156" s="196"/>
      <c r="V156" s="196"/>
      <c r="W156" s="196"/>
    </row>
    <row r="157" spans="1:23" ht="11.25" hidden="1" customHeight="1" x14ac:dyDescent="0.25">
      <c r="A157" s="1169">
        <f>'Org structure'!E154</f>
        <v>0</v>
      </c>
      <c r="B157" s="1046"/>
      <c r="C157" s="1627"/>
      <c r="D157" s="1627"/>
      <c r="E157" s="1628"/>
      <c r="F157" s="1629"/>
      <c r="G157" s="1627"/>
      <c r="H157" s="1630"/>
      <c r="I157" s="1631"/>
      <c r="J157" s="1627"/>
      <c r="K157" s="1628"/>
      <c r="L157" s="195"/>
      <c r="M157" s="196"/>
      <c r="N157" s="196"/>
      <c r="O157" s="196"/>
      <c r="P157" s="196"/>
      <c r="Q157" s="196"/>
      <c r="R157" s="196"/>
      <c r="S157" s="196"/>
      <c r="T157" s="196"/>
      <c r="U157" s="196"/>
      <c r="V157" s="196"/>
      <c r="W157" s="196"/>
    </row>
    <row r="158" spans="1:23" ht="11.25" hidden="1" customHeight="1" x14ac:dyDescent="0.25">
      <c r="A158" s="1169">
        <f>'Org structure'!E155</f>
        <v>0</v>
      </c>
      <c r="B158" s="1046"/>
      <c r="C158" s="1627"/>
      <c r="D158" s="1627"/>
      <c r="E158" s="1628"/>
      <c r="F158" s="1629"/>
      <c r="G158" s="1627"/>
      <c r="H158" s="1630"/>
      <c r="I158" s="1631"/>
      <c r="J158" s="1627"/>
      <c r="K158" s="1628"/>
      <c r="L158" s="195"/>
      <c r="M158" s="196"/>
      <c r="N158" s="196"/>
      <c r="O158" s="196"/>
      <c r="P158" s="196"/>
      <c r="Q158" s="196"/>
      <c r="R158" s="196"/>
      <c r="S158" s="196"/>
      <c r="T158" s="196"/>
      <c r="U158" s="196"/>
      <c r="V158" s="196"/>
      <c r="W158" s="196"/>
    </row>
    <row r="159" spans="1:23" ht="15" hidden="1" customHeight="1" x14ac:dyDescent="0.25">
      <c r="A159" s="2205" t="str">
        <f>'Org structure'!A16</f>
        <v>Vote 15 - [NAME OF VOTE 15]</v>
      </c>
      <c r="B159" s="1046"/>
      <c r="C159" s="976">
        <f>SUM(C160:C169)</f>
        <v>0</v>
      </c>
      <c r="D159" s="976">
        <f t="shared" ref="D159:K159" si="15">SUM(D160:D169)</f>
        <v>0</v>
      </c>
      <c r="E159" s="977">
        <f t="shared" si="15"/>
        <v>0</v>
      </c>
      <c r="F159" s="978">
        <f t="shared" si="15"/>
        <v>0</v>
      </c>
      <c r="G159" s="976">
        <f t="shared" si="15"/>
        <v>0</v>
      </c>
      <c r="H159" s="979">
        <f t="shared" si="15"/>
        <v>0</v>
      </c>
      <c r="I159" s="980">
        <f t="shared" si="15"/>
        <v>0</v>
      </c>
      <c r="J159" s="976">
        <f t="shared" si="15"/>
        <v>0</v>
      </c>
      <c r="K159" s="977">
        <f t="shared" si="15"/>
        <v>0</v>
      </c>
      <c r="L159" s="195"/>
      <c r="M159" s="196"/>
      <c r="N159" s="196"/>
      <c r="O159" s="196"/>
      <c r="P159" s="196"/>
      <c r="Q159" s="196"/>
      <c r="R159" s="196"/>
      <c r="S159" s="196"/>
      <c r="T159" s="196"/>
      <c r="U159" s="196"/>
      <c r="V159" s="196"/>
      <c r="W159" s="196"/>
    </row>
    <row r="160" spans="1:23" ht="11.25" hidden="1" customHeight="1" x14ac:dyDescent="0.25">
      <c r="A160" s="1169" t="str">
        <f>'Org structure'!E157</f>
        <v>15.1 - [Name of sub-vote]</v>
      </c>
      <c r="B160" s="1046"/>
      <c r="C160" s="1627"/>
      <c r="D160" s="1627"/>
      <c r="E160" s="1628"/>
      <c r="F160" s="1629"/>
      <c r="G160" s="1627"/>
      <c r="H160" s="1630"/>
      <c r="I160" s="1631"/>
      <c r="J160" s="1627"/>
      <c r="K160" s="1628"/>
      <c r="L160" s="195"/>
      <c r="M160" s="196"/>
      <c r="N160" s="196"/>
      <c r="O160" s="196"/>
      <c r="P160" s="196"/>
      <c r="Q160" s="196"/>
      <c r="R160" s="196"/>
      <c r="S160" s="196"/>
      <c r="T160" s="196"/>
      <c r="U160" s="196"/>
      <c r="V160" s="196"/>
      <c r="W160" s="196"/>
    </row>
    <row r="161" spans="1:23" ht="11.25" hidden="1" customHeight="1" x14ac:dyDescent="0.25">
      <c r="A161" s="1169">
        <f>'Org structure'!E158</f>
        <v>0</v>
      </c>
      <c r="B161" s="1046"/>
      <c r="C161" s="1627"/>
      <c r="D161" s="1627"/>
      <c r="E161" s="1628"/>
      <c r="F161" s="1629"/>
      <c r="G161" s="1627"/>
      <c r="H161" s="1630"/>
      <c r="I161" s="1631"/>
      <c r="J161" s="1627"/>
      <c r="K161" s="1628"/>
      <c r="L161" s="195"/>
      <c r="M161" s="196"/>
      <c r="N161" s="196"/>
      <c r="O161" s="196"/>
      <c r="P161" s="196"/>
      <c r="Q161" s="196"/>
      <c r="R161" s="196"/>
      <c r="S161" s="196"/>
      <c r="T161" s="196"/>
      <c r="U161" s="196"/>
      <c r="V161" s="196"/>
      <c r="W161" s="196"/>
    </row>
    <row r="162" spans="1:23" ht="11.25" hidden="1" customHeight="1" x14ac:dyDescent="0.25">
      <c r="A162" s="1169">
        <f>'Org structure'!E159</f>
        <v>0</v>
      </c>
      <c r="B162" s="1046"/>
      <c r="C162" s="1627"/>
      <c r="D162" s="1627"/>
      <c r="E162" s="1628"/>
      <c r="F162" s="1629"/>
      <c r="G162" s="1627"/>
      <c r="H162" s="1630"/>
      <c r="I162" s="1631"/>
      <c r="J162" s="1627"/>
      <c r="K162" s="1628"/>
      <c r="L162" s="195"/>
      <c r="M162" s="196"/>
      <c r="N162" s="196"/>
      <c r="O162" s="196"/>
      <c r="P162" s="196"/>
      <c r="Q162" s="196"/>
      <c r="R162" s="196"/>
      <c r="S162" s="196"/>
      <c r="T162" s="196"/>
      <c r="U162" s="196"/>
      <c r="V162" s="196"/>
      <c r="W162" s="196"/>
    </row>
    <row r="163" spans="1:23" ht="11.25" hidden="1" customHeight="1" x14ac:dyDescent="0.25">
      <c r="A163" s="1169">
        <f>'Org structure'!E160</f>
        <v>0</v>
      </c>
      <c r="B163" s="1046"/>
      <c r="C163" s="1627"/>
      <c r="D163" s="1627"/>
      <c r="E163" s="1628"/>
      <c r="F163" s="1629"/>
      <c r="G163" s="1627"/>
      <c r="H163" s="1630"/>
      <c r="I163" s="1631"/>
      <c r="J163" s="1627"/>
      <c r="K163" s="1628"/>
      <c r="L163" s="195"/>
      <c r="M163" s="196"/>
      <c r="N163" s="196"/>
      <c r="O163" s="196"/>
      <c r="P163" s="196"/>
      <c r="Q163" s="196"/>
      <c r="R163" s="196"/>
      <c r="S163" s="196"/>
      <c r="T163" s="196"/>
      <c r="U163" s="196"/>
      <c r="V163" s="196"/>
      <c r="W163" s="196"/>
    </row>
    <row r="164" spans="1:23" ht="11.25" hidden="1" customHeight="1" x14ac:dyDescent="0.25">
      <c r="A164" s="1169">
        <f>'Org structure'!E161</f>
        <v>0</v>
      </c>
      <c r="B164" s="1046"/>
      <c r="C164" s="1627"/>
      <c r="D164" s="1627"/>
      <c r="E164" s="1628"/>
      <c r="F164" s="1629"/>
      <c r="G164" s="1627"/>
      <c r="H164" s="1630"/>
      <c r="I164" s="1631"/>
      <c r="J164" s="1627"/>
      <c r="K164" s="1628"/>
      <c r="L164" s="195"/>
      <c r="M164" s="196"/>
      <c r="N164" s="196"/>
      <c r="O164" s="196"/>
      <c r="P164" s="196"/>
      <c r="Q164" s="196"/>
      <c r="R164" s="196"/>
      <c r="S164" s="196"/>
      <c r="T164" s="196"/>
      <c r="U164" s="196"/>
      <c r="V164" s="196"/>
      <c r="W164" s="196"/>
    </row>
    <row r="165" spans="1:23" ht="11.25" hidden="1" customHeight="1" x14ac:dyDescent="0.25">
      <c r="A165" s="1169">
        <f>'Org structure'!E162</f>
        <v>0</v>
      </c>
      <c r="B165" s="1046"/>
      <c r="C165" s="1627"/>
      <c r="D165" s="1627"/>
      <c r="E165" s="1628"/>
      <c r="F165" s="1629"/>
      <c r="G165" s="1627"/>
      <c r="H165" s="1630"/>
      <c r="I165" s="1631"/>
      <c r="J165" s="1627"/>
      <c r="K165" s="1628"/>
      <c r="L165" s="195"/>
      <c r="M165" s="196"/>
      <c r="N165" s="196"/>
      <c r="O165" s="196"/>
      <c r="P165" s="196"/>
      <c r="Q165" s="196"/>
      <c r="R165" s="196"/>
      <c r="S165" s="196"/>
      <c r="T165" s="196"/>
      <c r="U165" s="196"/>
      <c r="V165" s="196"/>
      <c r="W165" s="196"/>
    </row>
    <row r="166" spans="1:23" ht="11.25" hidden="1" customHeight="1" x14ac:dyDescent="0.25">
      <c r="A166" s="1169">
        <f>'Org structure'!E163</f>
        <v>0</v>
      </c>
      <c r="B166" s="1046"/>
      <c r="C166" s="1627"/>
      <c r="D166" s="1627"/>
      <c r="E166" s="1628"/>
      <c r="F166" s="1629"/>
      <c r="G166" s="1627"/>
      <c r="H166" s="1630"/>
      <c r="I166" s="1631"/>
      <c r="J166" s="1627"/>
      <c r="K166" s="1628"/>
      <c r="L166" s="195"/>
      <c r="M166" s="196"/>
      <c r="N166" s="196"/>
      <c r="O166" s="196"/>
      <c r="P166" s="196"/>
      <c r="Q166" s="196"/>
      <c r="R166" s="196"/>
      <c r="S166" s="196"/>
      <c r="T166" s="196"/>
      <c r="U166" s="196"/>
      <c r="V166" s="196"/>
      <c r="W166" s="196"/>
    </row>
    <row r="167" spans="1:23" ht="11.25" hidden="1" customHeight="1" x14ac:dyDescent="0.25">
      <c r="A167" s="1169">
        <f>'Org structure'!E164</f>
        <v>0</v>
      </c>
      <c r="B167" s="1046"/>
      <c r="C167" s="1627"/>
      <c r="D167" s="1627"/>
      <c r="E167" s="1628"/>
      <c r="F167" s="1629"/>
      <c r="G167" s="1627"/>
      <c r="H167" s="1630"/>
      <c r="I167" s="1631"/>
      <c r="J167" s="1627"/>
      <c r="K167" s="1628"/>
      <c r="L167" s="195"/>
      <c r="M167" s="196"/>
      <c r="N167" s="196"/>
      <c r="O167" s="196"/>
      <c r="P167" s="196"/>
      <c r="Q167" s="196"/>
      <c r="R167" s="196"/>
      <c r="S167" s="196"/>
      <c r="T167" s="196"/>
      <c r="U167" s="196"/>
      <c r="V167" s="196"/>
      <c r="W167" s="196"/>
    </row>
    <row r="168" spans="1:23" ht="11.25" hidden="1" customHeight="1" x14ac:dyDescent="0.25">
      <c r="A168" s="1169">
        <f>'Org structure'!E165</f>
        <v>0</v>
      </c>
      <c r="B168" s="1046"/>
      <c r="C168" s="1627"/>
      <c r="D168" s="1627"/>
      <c r="E168" s="1628"/>
      <c r="F168" s="1629"/>
      <c r="G168" s="1627"/>
      <c r="H168" s="1630"/>
      <c r="I168" s="1631"/>
      <c r="J168" s="1627"/>
      <c r="K168" s="1628"/>
      <c r="L168" s="195"/>
      <c r="M168" s="196"/>
      <c r="N168" s="196"/>
      <c r="O168" s="196"/>
      <c r="P168" s="196"/>
      <c r="Q168" s="196"/>
      <c r="R168" s="196"/>
      <c r="S168" s="196"/>
      <c r="T168" s="196"/>
      <c r="U168" s="196"/>
      <c r="V168" s="196"/>
      <c r="W168" s="196"/>
    </row>
    <row r="169" spans="1:23" ht="11.25" customHeight="1" x14ac:dyDescent="0.25">
      <c r="A169" s="1169">
        <f>'Org structure'!E166</f>
        <v>0</v>
      </c>
      <c r="B169" s="1046"/>
      <c r="C169" s="1627"/>
      <c r="D169" s="1627"/>
      <c r="E169" s="1628"/>
      <c r="F169" s="1629"/>
      <c r="G169" s="1627"/>
      <c r="H169" s="1630"/>
      <c r="I169" s="1631"/>
      <c r="J169" s="1627"/>
      <c r="K169" s="1628"/>
      <c r="L169" s="195"/>
      <c r="M169" s="196"/>
      <c r="N169" s="196"/>
      <c r="O169" s="196"/>
      <c r="P169" s="196"/>
      <c r="Q169" s="196"/>
      <c r="R169" s="196"/>
      <c r="S169" s="196"/>
      <c r="T169" s="196"/>
      <c r="U169" s="196"/>
      <c r="V169" s="196"/>
      <c r="W169" s="196"/>
    </row>
    <row r="170" spans="1:23" ht="11.25" customHeight="1" x14ac:dyDescent="0.25">
      <c r="A170" s="1214" t="s">
        <v>180</v>
      </c>
      <c r="B170" s="1187">
        <v>2</v>
      </c>
      <c r="C170" s="1215">
        <f>C5+C16+C27+C38+C49+C60+C71+C82+C93+C104+C115+C126+C137+C148+C159</f>
        <v>2575836189</v>
      </c>
      <c r="D170" s="1215">
        <f>D5+D16+D27+D38+D49+D60+D71+D82+D93+D104+D115+D126+D137+D148+D159</f>
        <v>2901980024</v>
      </c>
      <c r="E170" s="1216">
        <f t="shared" ref="E170:K170" si="16">E5+E16+E27+E38+E49+E60+E71+E82+E93+E104+E115+E126+E137+E148+E159</f>
        <v>2887564128</v>
      </c>
      <c r="F170" s="1217">
        <f t="shared" si="16"/>
        <v>2987790908.8607998</v>
      </c>
      <c r="G170" s="1215">
        <f t="shared" si="16"/>
        <v>3138030714.8607998</v>
      </c>
      <c r="H170" s="1218">
        <f t="shared" si="16"/>
        <v>3138030714.8607998</v>
      </c>
      <c r="I170" s="1219">
        <f>I5+I16+I27+I38+I49+I60+I71+I82+I93+I104+I115+I126+I137+I148+I159</f>
        <v>3540413513.5554299</v>
      </c>
      <c r="J170" s="1215">
        <f t="shared" si="16"/>
        <v>3722549351.2119837</v>
      </c>
      <c r="K170" s="1216">
        <f t="shared" si="16"/>
        <v>4053497614.6834826</v>
      </c>
      <c r="L170" s="199">
        <f t="shared" ref="L170:W170" si="17">SUM(L78:L81)</f>
        <v>0</v>
      </c>
      <c r="M170" s="200">
        <f t="shared" si="17"/>
        <v>0</v>
      </c>
      <c r="N170" s="200">
        <f t="shared" si="17"/>
        <v>0</v>
      </c>
      <c r="O170" s="200">
        <f t="shared" si="17"/>
        <v>0</v>
      </c>
      <c r="P170" s="200">
        <f t="shared" si="17"/>
        <v>0</v>
      </c>
      <c r="Q170" s="200">
        <f t="shared" si="17"/>
        <v>0</v>
      </c>
      <c r="R170" s="200">
        <f t="shared" si="17"/>
        <v>0</v>
      </c>
      <c r="S170" s="200">
        <f t="shared" si="17"/>
        <v>0</v>
      </c>
      <c r="T170" s="200">
        <f t="shared" si="17"/>
        <v>0</v>
      </c>
      <c r="U170" s="200">
        <f t="shared" si="17"/>
        <v>0</v>
      </c>
      <c r="V170" s="200">
        <f t="shared" si="17"/>
        <v>0</v>
      </c>
      <c r="W170" s="200">
        <f t="shared" si="17"/>
        <v>0</v>
      </c>
    </row>
    <row r="171" spans="1:23" ht="5.15" customHeight="1" x14ac:dyDescent="0.25">
      <c r="A171" s="1241"/>
      <c r="B171" s="1242"/>
      <c r="C171" s="1243"/>
      <c r="D171" s="1243"/>
      <c r="E171" s="1244"/>
      <c r="F171" s="1245"/>
      <c r="G171" s="1243"/>
      <c r="H171" s="1246"/>
      <c r="I171" s="1247"/>
      <c r="J171" s="1243"/>
      <c r="K171" s="1244"/>
      <c r="L171" s="195"/>
      <c r="M171" s="196"/>
      <c r="N171" s="196"/>
      <c r="O171" s="196"/>
      <c r="P171" s="196"/>
      <c r="Q171" s="196"/>
      <c r="R171" s="196"/>
      <c r="S171" s="196"/>
      <c r="T171" s="196"/>
      <c r="U171" s="196"/>
      <c r="V171" s="196"/>
      <c r="W171" s="196"/>
    </row>
    <row r="172" spans="1:23" ht="11.25" customHeight="1" x14ac:dyDescent="0.25">
      <c r="A172" s="1248" t="s">
        <v>428</v>
      </c>
      <c r="B172" s="1249">
        <v>1</v>
      </c>
      <c r="C172" s="1250"/>
      <c r="D172" s="1250"/>
      <c r="E172" s="1251"/>
      <c r="F172" s="1252"/>
      <c r="G172" s="1250"/>
      <c r="H172" s="1253"/>
      <c r="I172" s="1254"/>
      <c r="J172" s="1250"/>
      <c r="K172" s="1251"/>
      <c r="L172" s="195"/>
      <c r="M172" s="196"/>
      <c r="N172" s="196"/>
      <c r="O172" s="196"/>
      <c r="P172" s="196"/>
      <c r="Q172" s="196"/>
      <c r="R172" s="196"/>
      <c r="S172" s="196"/>
      <c r="T172" s="196"/>
      <c r="U172" s="196"/>
      <c r="V172" s="196"/>
      <c r="W172" s="196"/>
    </row>
    <row r="173" spans="1:23" ht="15" customHeight="1" x14ac:dyDescent="0.25">
      <c r="A173" s="1168" t="str">
        <f>A5</f>
        <v xml:space="preserve">Vote 1 - Corporate Services </v>
      </c>
      <c r="B173" s="1255"/>
      <c r="C173" s="1256">
        <f t="shared" ref="C173:K173" si="18">SUM(C174:C183)</f>
        <v>16911750</v>
      </c>
      <c r="D173" s="1256">
        <f t="shared" si="18"/>
        <v>19008636</v>
      </c>
      <c r="E173" s="1257">
        <f t="shared" si="18"/>
        <v>22372581</v>
      </c>
      <c r="F173" s="1258">
        <f t="shared" si="18"/>
        <v>241789034</v>
      </c>
      <c r="G173" s="1256">
        <f t="shared" si="18"/>
        <v>267726765</v>
      </c>
      <c r="H173" s="1259">
        <f t="shared" si="18"/>
        <v>267726765</v>
      </c>
      <c r="I173" s="1260">
        <f t="shared" si="18"/>
        <v>285543888.78965724</v>
      </c>
      <c r="J173" s="1256">
        <f t="shared" si="18"/>
        <v>312317351.95066243</v>
      </c>
      <c r="K173" s="1257">
        <f t="shared" si="18"/>
        <v>340422107.05308932</v>
      </c>
      <c r="L173" s="195"/>
      <c r="M173" s="196"/>
      <c r="N173" s="196"/>
      <c r="O173" s="196"/>
      <c r="P173" s="196"/>
      <c r="Q173" s="196"/>
      <c r="R173" s="196"/>
      <c r="S173" s="196"/>
      <c r="T173" s="196"/>
      <c r="U173" s="196"/>
      <c r="V173" s="196"/>
      <c r="W173" s="196"/>
    </row>
    <row r="174" spans="1:23" ht="11.25" customHeight="1" x14ac:dyDescent="0.25">
      <c r="A174" s="1169" t="str">
        <f t="shared" ref="A174:A183" si="19">A6</f>
        <v>1.1 - Council and Committee Support</v>
      </c>
      <c r="B174" s="1046"/>
      <c r="C174" s="1614">
        <v>47429</v>
      </c>
      <c r="D174" s="1614">
        <v>131243</v>
      </c>
      <c r="E174" s="1634">
        <f>143701</f>
        <v>143701</v>
      </c>
      <c r="F174" s="1635">
        <v>55556442</v>
      </c>
      <c r="G174" s="1614">
        <f>F174+7232054+934000</f>
        <v>63722496</v>
      </c>
      <c r="H174" s="1614">
        <f t="shared" ref="H174:H180" si="20">G174</f>
        <v>63722496</v>
      </c>
      <c r="I174" s="1627">
        <v>67201489.962045401</v>
      </c>
      <c r="J174" s="1634">
        <v>73502505.975695252</v>
      </c>
      <c r="K174" s="1634">
        <v>80116835.653374895</v>
      </c>
      <c r="L174" s="195"/>
      <c r="M174" s="196"/>
      <c r="N174" s="196"/>
      <c r="O174" s="196"/>
      <c r="P174" s="196"/>
      <c r="Q174" s="196"/>
      <c r="R174" s="196"/>
      <c r="S174" s="196"/>
      <c r="T174" s="196"/>
      <c r="U174" s="196"/>
      <c r="V174" s="196"/>
      <c r="W174" s="196"/>
    </row>
    <row r="175" spans="1:23" ht="11.25" customHeight="1" x14ac:dyDescent="0.25">
      <c r="A175" s="1169" t="str">
        <f t="shared" si="19"/>
        <v>1.2 - Enterprise  Wide Risk Management &amp; Audit and Compliance</v>
      </c>
      <c r="B175" s="1046"/>
      <c r="C175" s="1614"/>
      <c r="D175" s="1614"/>
      <c r="E175" s="1634">
        <f>3820121</f>
        <v>3820121</v>
      </c>
      <c r="F175" s="1635">
        <v>4372753</v>
      </c>
      <c r="G175" s="1614">
        <f>F175+5754180</f>
        <v>10126933</v>
      </c>
      <c r="H175" s="1614">
        <f t="shared" si="20"/>
        <v>10126933</v>
      </c>
      <c r="I175" s="1614">
        <v>10838689.086386243</v>
      </c>
      <c r="J175" s="1634">
        <v>11854957.52833394</v>
      </c>
      <c r="K175" s="1634">
        <v>12921759.215792313</v>
      </c>
      <c r="L175" s="195"/>
      <c r="M175" s="196"/>
      <c r="N175" s="196"/>
      <c r="O175" s="196"/>
      <c r="P175" s="196"/>
      <c r="Q175" s="196"/>
      <c r="R175" s="196"/>
      <c r="S175" s="196"/>
      <c r="T175" s="196"/>
      <c r="U175" s="196"/>
      <c r="V175" s="196"/>
      <c r="W175" s="196"/>
    </row>
    <row r="176" spans="1:23" ht="11.25" customHeight="1" x14ac:dyDescent="0.25">
      <c r="A176" s="1169" t="str">
        <f t="shared" si="19"/>
        <v>1.3 - Human Resources Management</v>
      </c>
      <c r="B176" s="1046"/>
      <c r="C176" s="1614">
        <v>3594605</v>
      </c>
      <c r="D176" s="1614"/>
      <c r="E176" s="1634">
        <v>0</v>
      </c>
      <c r="F176" s="1635">
        <v>12151996</v>
      </c>
      <c r="G176" s="1627">
        <f>F176+[4]B3B!$I$178</f>
        <v>17328206</v>
      </c>
      <c r="H176" s="1627">
        <f t="shared" si="20"/>
        <v>17328206</v>
      </c>
      <c r="I176" s="1627">
        <v>18546092.608576816</v>
      </c>
      <c r="J176" s="1634">
        <v>20285030.637827005</v>
      </c>
      <c r="K176" s="1634">
        <v>22110436.158079416</v>
      </c>
      <c r="L176" s="195"/>
      <c r="M176" s="196"/>
      <c r="N176" s="196"/>
      <c r="O176" s="196"/>
      <c r="P176" s="196"/>
      <c r="Q176" s="196"/>
      <c r="R176" s="196"/>
      <c r="S176" s="196"/>
      <c r="T176" s="196"/>
      <c r="U176" s="196"/>
      <c r="V176" s="196"/>
      <c r="W176" s="196"/>
    </row>
    <row r="177" spans="1:23" ht="11.25" customHeight="1" x14ac:dyDescent="0.25">
      <c r="A177" s="1169" t="str">
        <f t="shared" si="19"/>
        <v>1.4 - Legislative Compliance</v>
      </c>
      <c r="B177" s="1046"/>
      <c r="C177" s="1614">
        <v>170715</v>
      </c>
      <c r="D177" s="1614">
        <v>934080</v>
      </c>
      <c r="E177" s="1634">
        <f>447488</f>
        <v>447488</v>
      </c>
      <c r="F177" s="1635">
        <v>85970599</v>
      </c>
      <c r="G177" s="1614">
        <f>F177+[4]B3B!$I$179</f>
        <v>71673316</v>
      </c>
      <c r="H177" s="1614">
        <f t="shared" si="20"/>
        <v>71673316</v>
      </c>
      <c r="I177" s="1614">
        <v>76710766.025045559</v>
      </c>
      <c r="J177" s="1634">
        <v>83903400.673714101</v>
      </c>
      <c r="K177" s="1634">
        <v>91453684.106470808</v>
      </c>
      <c r="L177" s="195"/>
      <c r="M177" s="196"/>
      <c r="N177" s="196"/>
      <c r="O177" s="196"/>
      <c r="P177" s="196"/>
      <c r="Q177" s="196"/>
      <c r="R177" s="196"/>
      <c r="S177" s="196"/>
      <c r="T177" s="196"/>
      <c r="U177" s="196"/>
      <c r="V177" s="196"/>
      <c r="W177" s="196"/>
    </row>
    <row r="178" spans="1:23" ht="11.25" customHeight="1" x14ac:dyDescent="0.25">
      <c r="A178" s="1169" t="str">
        <f t="shared" si="19"/>
        <v>1.5 - Local Economic Development Management</v>
      </c>
      <c r="B178" s="1046"/>
      <c r="C178" s="1614">
        <v>466315</v>
      </c>
      <c r="D178" s="1614">
        <v>9019046</v>
      </c>
      <c r="E178" s="1634">
        <f>8678462</f>
        <v>8678462</v>
      </c>
      <c r="F178" s="1635">
        <v>11390913</v>
      </c>
      <c r="G178" s="2607">
        <f>F178+[4]B3B!$I$180</f>
        <v>33819353</v>
      </c>
      <c r="H178" s="2607">
        <f t="shared" si="20"/>
        <v>33819353</v>
      </c>
      <c r="I178" s="1628">
        <v>36196294.798212245</v>
      </c>
      <c r="J178" s="1634">
        <v>39590169.447228797</v>
      </c>
      <c r="K178" s="1634">
        <v>43152802.166251466</v>
      </c>
      <c r="L178" s="195"/>
      <c r="M178" s="196"/>
      <c r="N178" s="196"/>
      <c r="O178" s="196"/>
      <c r="P178" s="196"/>
      <c r="Q178" s="196"/>
      <c r="R178" s="196"/>
      <c r="S178" s="196"/>
      <c r="T178" s="196"/>
      <c r="U178" s="196"/>
      <c r="V178" s="196"/>
      <c r="W178" s="196"/>
    </row>
    <row r="179" spans="1:23" ht="11.25" customHeight="1" x14ac:dyDescent="0.25">
      <c r="A179" s="1169" t="str">
        <f t="shared" si="19"/>
        <v>1.6 - Management Information Services</v>
      </c>
      <c r="B179" s="1046"/>
      <c r="C179" s="1614">
        <v>12638364</v>
      </c>
      <c r="D179" s="1614"/>
      <c r="E179" s="1634">
        <f>0</f>
        <v>0</v>
      </c>
      <c r="F179" s="1635">
        <v>33482241</v>
      </c>
      <c r="G179" s="1627">
        <f>F179+[4]B3B!$I$181</f>
        <v>34242789</v>
      </c>
      <c r="H179" s="1627">
        <f t="shared" si="20"/>
        <v>34242789</v>
      </c>
      <c r="I179" s="1628">
        <v>36649491.353574365</v>
      </c>
      <c r="J179" s="1634">
        <v>40085859.089489445</v>
      </c>
      <c r="K179" s="1634">
        <v>43693097.834772058</v>
      </c>
      <c r="L179" s="195"/>
      <c r="M179" s="196"/>
      <c r="N179" s="196"/>
      <c r="O179" s="196"/>
      <c r="P179" s="196"/>
      <c r="Q179" s="196"/>
      <c r="R179" s="196"/>
      <c r="S179" s="196"/>
      <c r="T179" s="196"/>
      <c r="U179" s="196"/>
      <c r="V179" s="196"/>
      <c r="W179" s="196"/>
    </row>
    <row r="180" spans="1:23" ht="11.25" customHeight="1" x14ac:dyDescent="0.25">
      <c r="A180" s="1169" t="str">
        <f t="shared" si="19"/>
        <v>1.7 - Marketing and Public Relations Management</v>
      </c>
      <c r="B180" s="1046"/>
      <c r="C180" s="1614">
        <v>-5678</v>
      </c>
      <c r="D180" s="1614">
        <v>8924267</v>
      </c>
      <c r="E180" s="1634">
        <f>9282809</f>
        <v>9282809</v>
      </c>
      <c r="F180" s="1635">
        <v>38864090</v>
      </c>
      <c r="G180" s="1627">
        <f>F180+[4]B3B!$I$182</f>
        <v>36813672</v>
      </c>
      <c r="H180" s="1627">
        <f t="shared" si="20"/>
        <v>36813672</v>
      </c>
      <c r="I180" s="1614">
        <v>39401064.955816619</v>
      </c>
      <c r="J180" s="1634">
        <v>43095428.598373897</v>
      </c>
      <c r="K180" s="1634">
        <v>46973491.918348379</v>
      </c>
      <c r="L180" s="195"/>
      <c r="M180" s="196"/>
      <c r="N180" s="196"/>
      <c r="O180" s="196"/>
      <c r="P180" s="196"/>
      <c r="Q180" s="196"/>
      <c r="R180" s="196"/>
      <c r="S180" s="196"/>
      <c r="T180" s="196"/>
      <c r="U180" s="196"/>
      <c r="V180" s="196"/>
      <c r="W180" s="196"/>
    </row>
    <row r="181" spans="1:23" ht="11.25" customHeight="1" x14ac:dyDescent="0.25">
      <c r="A181" s="1169">
        <f t="shared" si="19"/>
        <v>0</v>
      </c>
      <c r="B181" s="1046"/>
      <c r="C181" s="1614"/>
      <c r="D181" s="1614"/>
      <c r="E181" s="1634"/>
      <c r="F181" s="1635"/>
      <c r="G181" s="1614"/>
      <c r="H181" s="1636"/>
      <c r="I181" s="1616"/>
      <c r="J181" s="1614"/>
      <c r="K181" s="1634"/>
      <c r="L181" s="195"/>
      <c r="M181" s="196"/>
      <c r="N181" s="196"/>
      <c r="O181" s="196"/>
      <c r="P181" s="196"/>
      <c r="Q181" s="196"/>
      <c r="R181" s="196"/>
      <c r="S181" s="196"/>
      <c r="T181" s="196"/>
      <c r="U181" s="196"/>
      <c r="V181" s="196"/>
      <c r="W181" s="196"/>
    </row>
    <row r="182" spans="1:23" ht="11.25" hidden="1" customHeight="1" x14ac:dyDescent="0.25">
      <c r="A182" s="1169">
        <f t="shared" si="19"/>
        <v>0</v>
      </c>
      <c r="B182" s="1046"/>
      <c r="C182" s="1614"/>
      <c r="D182" s="1614"/>
      <c r="E182" s="1634"/>
      <c r="F182" s="1635"/>
      <c r="G182" s="1614"/>
      <c r="H182" s="1636"/>
      <c r="I182" s="1616"/>
      <c r="J182" s="1614"/>
      <c r="K182" s="1634"/>
      <c r="L182" s="195"/>
      <c r="M182" s="196"/>
      <c r="N182" s="196"/>
      <c r="O182" s="196"/>
      <c r="P182" s="196"/>
      <c r="Q182" s="196"/>
      <c r="R182" s="196"/>
      <c r="S182" s="196"/>
      <c r="T182" s="196"/>
      <c r="U182" s="196"/>
      <c r="V182" s="196"/>
      <c r="W182" s="196"/>
    </row>
    <row r="183" spans="1:23" ht="11.25" hidden="1" customHeight="1" x14ac:dyDescent="0.25">
      <c r="A183" s="1169">
        <f t="shared" si="19"/>
        <v>0</v>
      </c>
      <c r="B183" s="1046"/>
      <c r="C183" s="1614"/>
      <c r="D183" s="1614"/>
      <c r="E183" s="1634"/>
      <c r="F183" s="1635"/>
      <c r="G183" s="1614"/>
      <c r="H183" s="1636"/>
      <c r="I183" s="1616"/>
      <c r="J183" s="1614"/>
      <c r="K183" s="1634"/>
      <c r="L183" s="195"/>
      <c r="M183" s="196"/>
      <c r="N183" s="196"/>
      <c r="O183" s="196"/>
      <c r="P183" s="196"/>
      <c r="Q183" s="196"/>
      <c r="R183" s="196"/>
      <c r="S183" s="196"/>
      <c r="T183" s="196"/>
      <c r="U183" s="196"/>
      <c r="V183" s="196"/>
      <c r="W183" s="196"/>
    </row>
    <row r="184" spans="1:23" ht="15" customHeight="1" x14ac:dyDescent="0.25">
      <c r="A184" s="1168" t="str">
        <f>A16</f>
        <v>Vote 2 - Financial Management Area</v>
      </c>
      <c r="B184" s="1057"/>
      <c r="C184" s="976">
        <f>SUM(C185:C194)</f>
        <v>470475319</v>
      </c>
      <c r="D184" s="976">
        <f>SUM(D185:D194)</f>
        <v>493682769</v>
      </c>
      <c r="E184" s="977">
        <f t="shared" ref="E184:K184" si="21">SUM(E185:E194)</f>
        <v>507855603</v>
      </c>
      <c r="F184" s="978">
        <f t="shared" si="21"/>
        <v>243368223</v>
      </c>
      <c r="G184" s="976">
        <f t="shared" si="21"/>
        <v>164159753</v>
      </c>
      <c r="H184" s="979">
        <f t="shared" si="21"/>
        <v>164159753</v>
      </c>
      <c r="I184" s="980">
        <f t="shared" si="21"/>
        <v>244420739.4692466</v>
      </c>
      <c r="J184" s="976">
        <f t="shared" si="21"/>
        <v>120176885.40701947</v>
      </c>
      <c r="K184" s="977">
        <f t="shared" si="21"/>
        <v>271644565.35633981</v>
      </c>
      <c r="L184" s="208"/>
      <c r="M184" s="209"/>
      <c r="N184" s="209"/>
      <c r="O184" s="209"/>
      <c r="P184" s="209"/>
      <c r="Q184" s="209"/>
      <c r="R184" s="209"/>
      <c r="S184" s="209"/>
      <c r="T184" s="209"/>
      <c r="U184" s="209"/>
      <c r="V184" s="209"/>
      <c r="W184" s="209"/>
    </row>
    <row r="185" spans="1:23" ht="11.25" customHeight="1" x14ac:dyDescent="0.25">
      <c r="A185" s="1169" t="str">
        <f t="shared" ref="A185:A194" si="22">A17</f>
        <v>2.1 - Budget &amp; Treasury Management</v>
      </c>
      <c r="B185" s="1046"/>
      <c r="C185" s="1614"/>
      <c r="D185" s="1614"/>
      <c r="E185" s="1634">
        <v>0</v>
      </c>
      <c r="F185" s="1635">
        <v>12697255</v>
      </c>
      <c r="G185" s="2607">
        <f>F185+[4]B3B!$I$187</f>
        <v>4321259</v>
      </c>
      <c r="H185" s="2607">
        <f>G185</f>
        <v>4321259</v>
      </c>
      <c r="I185" s="1614">
        <v>4624972.1176933171</v>
      </c>
      <c r="J185" s="1634">
        <v>5058623.5648967754</v>
      </c>
      <c r="K185" s="1634">
        <f>5513838.03043582+150000</f>
        <v>5663838.0304358201</v>
      </c>
      <c r="L185" s="208"/>
      <c r="M185" s="209"/>
      <c r="N185" s="209"/>
      <c r="O185" s="209"/>
      <c r="P185" s="209"/>
      <c r="Q185" s="209"/>
      <c r="R185" s="209"/>
      <c r="S185" s="209"/>
      <c r="T185" s="209"/>
      <c r="U185" s="209"/>
      <c r="V185" s="209"/>
      <c r="W185" s="209"/>
    </row>
    <row r="186" spans="1:23" ht="11.25" customHeight="1" x14ac:dyDescent="0.25">
      <c r="A186" s="1169" t="str">
        <f t="shared" si="22"/>
        <v>2.2 - Expenditure Management</v>
      </c>
      <c r="B186" s="1046"/>
      <c r="C186" s="1614">
        <v>4327698</v>
      </c>
      <c r="D186" s="1614">
        <v>2788501</v>
      </c>
      <c r="E186" s="1634">
        <f>3308002</f>
        <v>3308002</v>
      </c>
      <c r="F186" s="1635">
        <v>9870613</v>
      </c>
      <c r="G186" s="1614">
        <f>F186+[4]B3B!$I$188</f>
        <v>12056913</v>
      </c>
      <c r="H186" s="1614">
        <f>G186</f>
        <v>12056913</v>
      </c>
      <c r="I186" s="1614">
        <v>12904314.795862524</v>
      </c>
      <c r="J186" s="1634">
        <v>14114262.584517678</v>
      </c>
      <c r="K186" s="1634">
        <v>15384374.190266306</v>
      </c>
      <c r="L186" s="208"/>
      <c r="M186" s="209"/>
      <c r="N186" s="209"/>
      <c r="O186" s="209"/>
      <c r="P186" s="209"/>
      <c r="Q186" s="209"/>
      <c r="R186" s="209"/>
      <c r="S186" s="209"/>
      <c r="T186" s="209"/>
      <c r="U186" s="209"/>
      <c r="V186" s="209"/>
      <c r="W186" s="209"/>
    </row>
    <row r="187" spans="1:23" ht="11.25" customHeight="1" x14ac:dyDescent="0.25">
      <c r="A187" s="1169" t="str">
        <f t="shared" si="22"/>
        <v>2.3 - Financial Control and Cash Management</v>
      </c>
      <c r="B187" s="1046"/>
      <c r="C187" s="1614">
        <v>-6883</v>
      </c>
      <c r="D187" s="1614">
        <v>-24635</v>
      </c>
      <c r="E187" s="1634">
        <v>0</v>
      </c>
      <c r="F187" s="1635">
        <v>26940277</v>
      </c>
      <c r="G187" s="1614">
        <f>F187+[4]B3B!$I$189</f>
        <v>29094521</v>
      </c>
      <c r="H187" s="1614">
        <f>G187</f>
        <v>29094521</v>
      </c>
      <c r="I187" s="1614">
        <v>31139385.165907133</v>
      </c>
      <c r="J187" s="1634">
        <v>34059108.593116984</v>
      </c>
      <c r="K187" s="1634">
        <v>37124013.24871143</v>
      </c>
      <c r="L187" s="208"/>
      <c r="M187" s="209"/>
      <c r="N187" s="209"/>
      <c r="O187" s="209"/>
      <c r="P187" s="209"/>
      <c r="Q187" s="209"/>
      <c r="R187" s="209"/>
      <c r="S187" s="209"/>
      <c r="T187" s="209"/>
      <c r="U187" s="209"/>
      <c r="V187" s="209"/>
      <c r="W187" s="209"/>
    </row>
    <row r="188" spans="1:23" ht="11.25" customHeight="1" x14ac:dyDescent="0.25">
      <c r="A188" s="1169" t="str">
        <f t="shared" si="22"/>
        <v>2.4 - Revenue Management</v>
      </c>
      <c r="B188" s="1046"/>
      <c r="C188" s="1614">
        <v>449558202</v>
      </c>
      <c r="D188" s="1614">
        <f>491144903-226000</f>
        <v>490918903</v>
      </c>
      <c r="E188" s="1634">
        <f>485710220</f>
        <v>485710220</v>
      </c>
      <c r="F188" s="1635">
        <v>167749163</v>
      </c>
      <c r="G188" s="1614">
        <f>F188+[5]B3B!$I$190</f>
        <v>89936101</v>
      </c>
      <c r="H188" s="1614">
        <f>G188</f>
        <v>89936101</v>
      </c>
      <c r="I188" s="1614">
        <f>489591390.956609-324611000</f>
        <v>164980390.95660901</v>
      </c>
      <c r="J188" s="1634">
        <f>535496968.292841-39464000-383550000-79195000</f>
        <v>33287968.292841017</v>
      </c>
      <c r="K188" s="1634">
        <f>583685168.717708-39464-406859000</f>
        <v>176786704.71770799</v>
      </c>
      <c r="L188" s="208"/>
      <c r="M188" s="209"/>
      <c r="N188" s="209"/>
      <c r="O188" s="209"/>
      <c r="P188" s="209"/>
      <c r="Q188" s="209"/>
      <c r="R188" s="209"/>
      <c r="S188" s="209"/>
      <c r="T188" s="209"/>
      <c r="U188" s="209"/>
      <c r="V188" s="209"/>
      <c r="W188" s="209"/>
    </row>
    <row r="189" spans="1:23" ht="11.25" customHeight="1" x14ac:dyDescent="0.25">
      <c r="A189" s="1169" t="str">
        <f t="shared" si="22"/>
        <v>2.5 - Supply Chain Management</v>
      </c>
      <c r="B189" s="1046"/>
      <c r="C189" s="1614">
        <v>16596302</v>
      </c>
      <c r="D189" s="1614">
        <v>0</v>
      </c>
      <c r="E189" s="1634">
        <f>18837381</f>
        <v>18837381</v>
      </c>
      <c r="F189" s="1635">
        <v>26110915</v>
      </c>
      <c r="G189" s="1614">
        <f>F189+[4]B3B!$I$191</f>
        <v>28750959</v>
      </c>
      <c r="H189" s="1614">
        <f>G189</f>
        <v>28750959</v>
      </c>
      <c r="I189" s="1614">
        <v>30771676.433174621</v>
      </c>
      <c r="J189" s="1634">
        <v>33656922.371647015</v>
      </c>
      <c r="K189" s="1634">
        <v>36685635.16921825</v>
      </c>
      <c r="L189" s="208"/>
      <c r="M189" s="209"/>
      <c r="N189" s="209"/>
      <c r="O189" s="209"/>
      <c r="P189" s="209"/>
      <c r="Q189" s="209"/>
      <c r="R189" s="209"/>
      <c r="S189" s="209"/>
      <c r="T189" s="209"/>
      <c r="U189" s="209"/>
      <c r="V189" s="209"/>
      <c r="W189" s="209"/>
    </row>
    <row r="190" spans="1:23" ht="11.25" customHeight="1" x14ac:dyDescent="0.25">
      <c r="A190" s="1169">
        <f t="shared" si="22"/>
        <v>0</v>
      </c>
      <c r="B190" s="1046"/>
      <c r="C190" s="1614"/>
      <c r="D190" s="1614"/>
      <c r="E190" s="1634"/>
      <c r="F190" s="1635"/>
      <c r="G190" s="1614"/>
      <c r="H190" s="1636"/>
      <c r="I190" s="1616"/>
      <c r="J190" s="1614"/>
      <c r="K190" s="1634"/>
      <c r="L190" s="208"/>
      <c r="M190" s="209"/>
      <c r="N190" s="209"/>
      <c r="O190" s="209"/>
      <c r="P190" s="209"/>
      <c r="Q190" s="209"/>
      <c r="R190" s="209"/>
      <c r="S190" s="209"/>
      <c r="T190" s="209"/>
      <c r="U190" s="209"/>
      <c r="V190" s="209"/>
      <c r="W190" s="209"/>
    </row>
    <row r="191" spans="1:23" ht="11.25" hidden="1" customHeight="1" x14ac:dyDescent="0.25">
      <c r="A191" s="1169">
        <f t="shared" si="22"/>
        <v>0</v>
      </c>
      <c r="B191" s="1046"/>
      <c r="C191" s="1614"/>
      <c r="D191" s="1614"/>
      <c r="E191" s="1634"/>
      <c r="F191" s="1635"/>
      <c r="G191" s="1614"/>
      <c r="H191" s="1636"/>
      <c r="I191" s="1616"/>
      <c r="J191" s="1614"/>
      <c r="K191" s="1634"/>
      <c r="L191" s="208"/>
      <c r="M191" s="209"/>
      <c r="N191" s="209"/>
      <c r="O191" s="209"/>
      <c r="P191" s="209"/>
      <c r="Q191" s="209"/>
      <c r="R191" s="209"/>
      <c r="S191" s="209"/>
      <c r="T191" s="209"/>
      <c r="U191" s="209"/>
      <c r="V191" s="209"/>
      <c r="W191" s="209"/>
    </row>
    <row r="192" spans="1:23" ht="11.25" hidden="1" customHeight="1" x14ac:dyDescent="0.25">
      <c r="A192" s="1169">
        <f t="shared" si="22"/>
        <v>0</v>
      </c>
      <c r="B192" s="1046"/>
      <c r="C192" s="1614"/>
      <c r="D192" s="1614"/>
      <c r="E192" s="1634"/>
      <c r="F192" s="1635"/>
      <c r="G192" s="1614"/>
      <c r="H192" s="1636"/>
      <c r="I192" s="1616"/>
      <c r="J192" s="1614"/>
      <c r="K192" s="1634"/>
      <c r="L192" s="208"/>
      <c r="M192" s="209"/>
      <c r="N192" s="209"/>
      <c r="O192" s="209"/>
      <c r="P192" s="209"/>
      <c r="Q192" s="209"/>
      <c r="R192" s="209"/>
      <c r="S192" s="209"/>
      <c r="T192" s="209"/>
      <c r="U192" s="209"/>
      <c r="V192" s="209"/>
      <c r="W192" s="209"/>
    </row>
    <row r="193" spans="1:23" ht="11.25" hidden="1" customHeight="1" x14ac:dyDescent="0.25">
      <c r="A193" s="1169">
        <f t="shared" si="22"/>
        <v>0</v>
      </c>
      <c r="B193" s="1046"/>
      <c r="C193" s="1614"/>
      <c r="D193" s="1614"/>
      <c r="E193" s="1634"/>
      <c r="F193" s="1635"/>
      <c r="G193" s="1614"/>
      <c r="H193" s="1636"/>
      <c r="I193" s="1616"/>
      <c r="J193" s="1614"/>
      <c r="K193" s="1634"/>
      <c r="L193" s="208"/>
      <c r="M193" s="209"/>
      <c r="N193" s="209"/>
      <c r="O193" s="209"/>
      <c r="P193" s="209"/>
      <c r="Q193" s="209"/>
      <c r="R193" s="209"/>
      <c r="S193" s="209"/>
      <c r="T193" s="209"/>
      <c r="U193" s="209"/>
      <c r="V193" s="209"/>
      <c r="W193" s="209"/>
    </row>
    <row r="194" spans="1:23" ht="11.25" hidden="1" customHeight="1" x14ac:dyDescent="0.25">
      <c r="A194" s="1169">
        <f t="shared" si="22"/>
        <v>0</v>
      </c>
      <c r="B194" s="1046"/>
      <c r="C194" s="1614"/>
      <c r="D194" s="1614"/>
      <c r="E194" s="1634"/>
      <c r="F194" s="1635"/>
      <c r="G194" s="1614"/>
      <c r="H194" s="1636"/>
      <c r="I194" s="1616"/>
      <c r="J194" s="1614"/>
      <c r="K194" s="1634"/>
      <c r="L194" s="208"/>
      <c r="M194" s="209"/>
      <c r="N194" s="209"/>
      <c r="O194" s="209"/>
      <c r="P194" s="209"/>
      <c r="Q194" s="209"/>
      <c r="R194" s="209"/>
      <c r="S194" s="209"/>
      <c r="T194" s="209"/>
      <c r="U194" s="209"/>
      <c r="V194" s="209"/>
      <c r="W194" s="209"/>
    </row>
    <row r="195" spans="1:23" ht="15" customHeight="1" x14ac:dyDescent="0.25">
      <c r="A195" s="1168" t="str">
        <f t="shared" ref="A195:A206" si="23">A27</f>
        <v>Vote 3 - Infrastructure Development, Service Delivery and Maintenance Management</v>
      </c>
      <c r="B195" s="1057"/>
      <c r="C195" s="976">
        <f t="shared" ref="C195:K195" si="24">SUM(C196:C205)</f>
        <v>1928257805</v>
      </c>
      <c r="D195" s="976">
        <f t="shared" si="24"/>
        <v>1849210946</v>
      </c>
      <c r="E195" s="977">
        <f t="shared" si="24"/>
        <v>1659881852</v>
      </c>
      <c r="F195" s="978">
        <f t="shared" si="24"/>
        <v>2088989504</v>
      </c>
      <c r="G195" s="976">
        <f t="shared" si="24"/>
        <v>2279080106</v>
      </c>
      <c r="H195" s="979">
        <f t="shared" si="24"/>
        <v>2279080106</v>
      </c>
      <c r="I195" s="980">
        <f t="shared" si="24"/>
        <v>2533556898.4976683</v>
      </c>
      <c r="J195" s="976">
        <f t="shared" si="24"/>
        <v>2776361220.6007533</v>
      </c>
      <c r="K195" s="977">
        <f t="shared" si="24"/>
        <v>2781093194.9377751</v>
      </c>
      <c r="L195" s="208"/>
      <c r="M195" s="209"/>
      <c r="N195" s="209"/>
      <c r="O195" s="209"/>
      <c r="P195" s="209"/>
      <c r="Q195" s="209"/>
      <c r="R195" s="209"/>
      <c r="S195" s="209"/>
      <c r="T195" s="209"/>
      <c r="U195" s="209"/>
      <c r="V195" s="209"/>
      <c r="W195" s="209"/>
    </row>
    <row r="196" spans="1:23" ht="11.25" customHeight="1" x14ac:dyDescent="0.25">
      <c r="A196" s="1169" t="str">
        <f t="shared" si="23"/>
        <v>3.1 - Electricity distribution Management</v>
      </c>
      <c r="B196" s="1046"/>
      <c r="C196" s="1614">
        <f>1000229138+67949496</f>
        <v>1068178634</v>
      </c>
      <c r="D196" s="1614">
        <v>946351403</v>
      </c>
      <c r="E196" s="1634">
        <f>1143068168-438942000</f>
        <v>704126168</v>
      </c>
      <c r="F196" s="1635">
        <v>1227845940</v>
      </c>
      <c r="G196" s="2607">
        <f>F196+[5]B3B!$I$198</f>
        <v>1227378888</v>
      </c>
      <c r="H196" s="2607">
        <f t="shared" ref="H196:H201" si="25">G196</f>
        <v>1227378888</v>
      </c>
      <c r="I196" s="1614">
        <f>1574248000-201038000</f>
        <v>1373210000</v>
      </c>
      <c r="J196" s="1634">
        <f>1587127000-65507000</f>
        <v>1521620000</v>
      </c>
      <c r="K196" s="1634">
        <f>2001726000-374198000</f>
        <v>1627528000</v>
      </c>
      <c r="L196" s="208"/>
      <c r="M196" s="209"/>
      <c r="N196" s="209"/>
      <c r="O196" s="209"/>
      <c r="P196" s="209"/>
      <c r="Q196" s="209"/>
      <c r="R196" s="209"/>
      <c r="S196" s="209"/>
      <c r="T196" s="209"/>
      <c r="U196" s="209"/>
      <c r="V196" s="209"/>
      <c r="W196" s="209"/>
    </row>
    <row r="197" spans="1:23" ht="11.25" customHeight="1" x14ac:dyDescent="0.25">
      <c r="A197" s="1169" t="str">
        <f t="shared" si="23"/>
        <v>3.2 - Human Settlement Development Management</v>
      </c>
      <c r="B197" s="1046"/>
      <c r="C197" s="1614">
        <v>101262013</v>
      </c>
      <c r="D197" s="1614">
        <v>9323033</v>
      </c>
      <c r="E197" s="1634">
        <f>10796332+24733512+9724505+39330</f>
        <v>45293679</v>
      </c>
      <c r="F197" s="1635">
        <v>15366165</v>
      </c>
      <c r="G197" s="2607">
        <f>F197+[4]B3B!$I$199</f>
        <v>8436901</v>
      </c>
      <c r="H197" s="2607">
        <f t="shared" si="25"/>
        <v>8436901</v>
      </c>
      <c r="I197" s="1614">
        <v>9029875.757213084</v>
      </c>
      <c r="J197" s="1634">
        <v>9876544.3620253168</v>
      </c>
      <c r="K197" s="1634">
        <v>10765312.977727547</v>
      </c>
      <c r="L197" s="208"/>
      <c r="M197" s="209"/>
      <c r="N197" s="209"/>
      <c r="O197" s="209"/>
      <c r="P197" s="209"/>
      <c r="Q197" s="209"/>
      <c r="R197" s="209"/>
      <c r="S197" s="209"/>
      <c r="T197" s="209"/>
      <c r="U197" s="209"/>
      <c r="V197" s="209"/>
      <c r="W197" s="209"/>
    </row>
    <row r="198" spans="1:23" ht="11.25" customHeight="1" x14ac:dyDescent="0.25">
      <c r="A198" s="1169" t="str">
        <f t="shared" si="23"/>
        <v>3.3 - Municipal Infrastructure Planning, Funding, Maintenance and Development Management</v>
      </c>
      <c r="B198" s="1046"/>
      <c r="C198" s="1614">
        <v>37449252</v>
      </c>
      <c r="D198" s="1614">
        <v>72167120</v>
      </c>
      <c r="E198" s="1634">
        <f>46161457</f>
        <v>46161457</v>
      </c>
      <c r="F198" s="1635">
        <v>92405481</v>
      </c>
      <c r="G198" s="1614">
        <f>F198+[4]B3B!$I$200</f>
        <v>96148467</v>
      </c>
      <c r="H198" s="1614">
        <f t="shared" si="25"/>
        <v>96148467</v>
      </c>
      <c r="I198" s="1614">
        <v>102906115.79494679</v>
      </c>
      <c r="J198" s="1634">
        <v>112554906.080589</v>
      </c>
      <c r="K198" s="1634">
        <v>122683475.79089868</v>
      </c>
      <c r="L198" s="208"/>
      <c r="M198" s="209"/>
      <c r="N198" s="209"/>
      <c r="O198" s="209"/>
      <c r="P198" s="209"/>
      <c r="Q198" s="209"/>
      <c r="R198" s="209"/>
      <c r="S198" s="209"/>
      <c r="T198" s="209"/>
      <c r="U198" s="209"/>
      <c r="V198" s="209"/>
      <c r="W198" s="209"/>
    </row>
    <row r="199" spans="1:23" ht="11.25" customHeight="1" x14ac:dyDescent="0.25">
      <c r="A199" s="1169" t="str">
        <f t="shared" si="23"/>
        <v>3.4 - Roads and Stormwater</v>
      </c>
      <c r="B199" s="1046"/>
      <c r="C199" s="1614">
        <v>170311289</v>
      </c>
      <c r="D199" s="1614">
        <v>200399288</v>
      </c>
      <c r="E199" s="1634">
        <f>233112272</f>
        <v>233112272</v>
      </c>
      <c r="F199" s="1635">
        <v>161738367</v>
      </c>
      <c r="G199" s="2607">
        <f>F199+[5]B3B!$I$201</f>
        <v>290646760</v>
      </c>
      <c r="H199" s="2607">
        <f t="shared" si="25"/>
        <v>290646760</v>
      </c>
      <c r="I199" s="1614">
        <v>319270744.20276827</v>
      </c>
      <c r="J199" s="1634">
        <v>349206539.86812848</v>
      </c>
      <c r="K199" s="1634">
        <f>380630872.271888-32383000</f>
        <v>348247872.27188802</v>
      </c>
      <c r="L199" s="208"/>
      <c r="M199" s="209"/>
      <c r="N199" s="209"/>
      <c r="O199" s="209"/>
      <c r="P199" s="209"/>
      <c r="Q199" s="209"/>
      <c r="R199" s="209"/>
      <c r="S199" s="209"/>
      <c r="T199" s="209"/>
      <c r="U199" s="209"/>
      <c r="V199" s="209"/>
      <c r="W199" s="209"/>
    </row>
    <row r="200" spans="1:23" ht="11.25" customHeight="1" x14ac:dyDescent="0.25">
      <c r="A200" s="1169" t="str">
        <f t="shared" si="23"/>
        <v>3.5 - Waste Management</v>
      </c>
      <c r="B200" s="1046"/>
      <c r="C200" s="1614">
        <v>111279588</v>
      </c>
      <c r="D200" s="1614">
        <v>165720830</v>
      </c>
      <c r="E200" s="1634">
        <f>12711051+162728633</f>
        <v>175439684</v>
      </c>
      <c r="F200" s="1635">
        <v>126784427</v>
      </c>
      <c r="G200" s="2607">
        <f>F200+[5]B3B!$I$202</f>
        <v>143006006</v>
      </c>
      <c r="H200" s="2607">
        <f t="shared" si="25"/>
        <v>143006006</v>
      </c>
      <c r="I200" s="1614">
        <v>155853697.74274042</v>
      </c>
      <c r="J200" s="1634">
        <v>170467014.29001033</v>
      </c>
      <c r="K200" s="1634">
        <v>185806967.89726099</v>
      </c>
      <c r="L200" s="208"/>
      <c r="M200" s="209"/>
      <c r="N200" s="209"/>
      <c r="O200" s="209"/>
      <c r="P200" s="209"/>
      <c r="Q200" s="209"/>
      <c r="R200" s="209"/>
      <c r="S200" s="209"/>
      <c r="T200" s="209"/>
      <c r="U200" s="209"/>
      <c r="V200" s="209"/>
      <c r="W200" s="209"/>
    </row>
    <row r="201" spans="1:23" ht="11.25" customHeight="1" x14ac:dyDescent="0.25">
      <c r="A201" s="1169" t="str">
        <f t="shared" si="23"/>
        <v>3.6 - Water Distribution and Sanitation Management</v>
      </c>
      <c r="B201" s="1046"/>
      <c r="C201" s="1053">
        <v>439777029</v>
      </c>
      <c r="D201" s="1053">
        <v>455249272</v>
      </c>
      <c r="E201" s="1054">
        <f>455748592</f>
        <v>455748592</v>
      </c>
      <c r="F201" s="1055">
        <v>464849124</v>
      </c>
      <c r="G201" s="2607">
        <f>F201+[5]B3B!$I$203</f>
        <v>513463084</v>
      </c>
      <c r="H201" s="2607">
        <f t="shared" si="25"/>
        <v>513463084</v>
      </c>
      <c r="I201" s="1614">
        <f>423487704+150000000-201239</f>
        <v>573286465</v>
      </c>
      <c r="J201" s="1617">
        <f>462636216+150000000</f>
        <v>612636216</v>
      </c>
      <c r="K201" s="1614">
        <f>497851566+150000000-161790000</f>
        <v>486061566</v>
      </c>
      <c r="L201" s="208"/>
      <c r="M201" s="209"/>
      <c r="N201" s="209"/>
      <c r="O201" s="209"/>
      <c r="P201" s="209"/>
      <c r="Q201" s="209"/>
      <c r="R201" s="209"/>
      <c r="S201" s="209"/>
      <c r="T201" s="209"/>
      <c r="U201" s="209"/>
      <c r="V201" s="209"/>
      <c r="W201" s="209"/>
    </row>
    <row r="202" spans="1:23" ht="11.25" hidden="1" customHeight="1" x14ac:dyDescent="0.25">
      <c r="A202" s="1169">
        <f t="shared" si="23"/>
        <v>0</v>
      </c>
      <c r="B202" s="1046"/>
      <c r="C202" s="1053"/>
      <c r="D202" s="1053"/>
      <c r="E202" s="1054"/>
      <c r="F202" s="1055"/>
      <c r="G202" s="1053"/>
      <c r="H202" s="1056"/>
      <c r="I202" s="1053"/>
      <c r="J202" s="1054"/>
      <c r="K202" s="1054"/>
      <c r="L202" s="208"/>
      <c r="M202" s="209"/>
      <c r="N202" s="209"/>
      <c r="O202" s="209"/>
      <c r="P202" s="209"/>
      <c r="Q202" s="209"/>
      <c r="R202" s="209"/>
      <c r="S202" s="209"/>
      <c r="T202" s="209"/>
      <c r="U202" s="209"/>
      <c r="V202" s="209"/>
      <c r="W202" s="209"/>
    </row>
    <row r="203" spans="1:23" ht="11.25" hidden="1" customHeight="1" x14ac:dyDescent="0.25">
      <c r="A203" s="1169">
        <f t="shared" si="23"/>
        <v>0</v>
      </c>
      <c r="B203" s="1046"/>
      <c r="C203" s="1053"/>
      <c r="D203" s="1053"/>
      <c r="E203" s="1054"/>
      <c r="F203" s="1055"/>
      <c r="G203" s="1053"/>
      <c r="H203" s="1056"/>
      <c r="I203" s="1053"/>
      <c r="J203" s="1054"/>
      <c r="K203" s="1054"/>
      <c r="L203" s="208"/>
      <c r="M203" s="209"/>
      <c r="N203" s="209"/>
      <c r="O203" s="209"/>
      <c r="P203" s="209"/>
      <c r="Q203" s="209"/>
      <c r="R203" s="209"/>
      <c r="S203" s="209"/>
      <c r="T203" s="209"/>
      <c r="U203" s="209"/>
      <c r="V203" s="209"/>
      <c r="W203" s="209"/>
    </row>
    <row r="204" spans="1:23" ht="11.25" hidden="1" customHeight="1" x14ac:dyDescent="0.25">
      <c r="A204" s="1169">
        <f t="shared" si="23"/>
        <v>0</v>
      </c>
      <c r="B204" s="1046"/>
      <c r="C204" s="1053"/>
      <c r="D204" s="1053"/>
      <c r="E204" s="1054"/>
      <c r="F204" s="1055"/>
      <c r="G204" s="1053"/>
      <c r="H204" s="1056"/>
      <c r="I204" s="1053"/>
      <c r="J204" s="1054"/>
      <c r="K204" s="1054"/>
      <c r="L204" s="208"/>
      <c r="M204" s="209"/>
      <c r="N204" s="209"/>
      <c r="O204" s="209"/>
      <c r="P204" s="209"/>
      <c r="Q204" s="209"/>
      <c r="R204" s="209"/>
      <c r="S204" s="209"/>
      <c r="T204" s="209"/>
      <c r="U204" s="209"/>
      <c r="V204" s="209"/>
      <c r="W204" s="209"/>
    </row>
    <row r="205" spans="1:23" ht="11.25" customHeight="1" x14ac:dyDescent="0.25">
      <c r="A205" s="1169">
        <f t="shared" si="23"/>
        <v>0</v>
      </c>
      <c r="B205" s="1046"/>
      <c r="C205" s="1053"/>
      <c r="D205" s="1053"/>
      <c r="E205" s="1054"/>
      <c r="F205" s="1055"/>
      <c r="G205" s="1053"/>
      <c r="H205" s="1056"/>
      <c r="I205" s="1053"/>
      <c r="J205" s="1054"/>
      <c r="K205" s="1054"/>
      <c r="L205" s="208"/>
      <c r="M205" s="209"/>
      <c r="N205" s="209"/>
      <c r="O205" s="209"/>
      <c r="P205" s="209"/>
      <c r="Q205" s="209"/>
      <c r="R205" s="209"/>
      <c r="S205" s="209"/>
      <c r="T205" s="209"/>
      <c r="U205" s="209"/>
      <c r="V205" s="209"/>
      <c r="W205" s="209"/>
    </row>
    <row r="206" spans="1:23" ht="15" customHeight="1" x14ac:dyDescent="0.25">
      <c r="A206" s="1168" t="str">
        <f t="shared" si="23"/>
        <v>Vote 4 - Sustainable Community Service Delivery Provision Management</v>
      </c>
      <c r="B206" s="1057"/>
      <c r="C206" s="976">
        <f t="shared" ref="C206:K206" si="26">SUM(C207:C216)</f>
        <v>391455308</v>
      </c>
      <c r="D206" s="976">
        <f t="shared" si="26"/>
        <v>445298966</v>
      </c>
      <c r="E206" s="977">
        <f t="shared" si="26"/>
        <v>462986134</v>
      </c>
      <c r="F206" s="978">
        <f t="shared" si="26"/>
        <v>408499525</v>
      </c>
      <c r="G206" s="976">
        <f t="shared" si="26"/>
        <v>418271583</v>
      </c>
      <c r="H206" s="979">
        <f t="shared" si="26"/>
        <v>418271583</v>
      </c>
      <c r="I206" s="980">
        <f t="shared" si="26"/>
        <v>410306167.30711836</v>
      </c>
      <c r="J206" s="976">
        <f t="shared" si="26"/>
        <v>449136989.49651557</v>
      </c>
      <c r="K206" s="977">
        <f t="shared" si="26"/>
        <v>610336980.69304967</v>
      </c>
      <c r="L206" s="208"/>
      <c r="M206" s="209"/>
      <c r="N206" s="209"/>
      <c r="O206" s="209"/>
      <c r="P206" s="209"/>
      <c r="Q206" s="209"/>
      <c r="R206" s="209"/>
      <c r="S206" s="209"/>
      <c r="T206" s="209"/>
      <c r="U206" s="209"/>
      <c r="V206" s="209"/>
      <c r="W206" s="209"/>
    </row>
    <row r="207" spans="1:23" ht="11.25" customHeight="1" x14ac:dyDescent="0.25">
      <c r="A207" s="1169" t="str">
        <f t="shared" ref="A207:A216" si="27">A39</f>
        <v>4.1 - Community Services Provision Management</v>
      </c>
      <c r="B207" s="1046"/>
      <c r="C207" s="1053">
        <f>129478057+56</f>
        <v>129478113</v>
      </c>
      <c r="D207" s="1053">
        <f>166655847+309</f>
        <v>166656156</v>
      </c>
      <c r="E207" s="1628">
        <f>179362867-132</f>
        <v>179362735</v>
      </c>
      <c r="F207" s="1055">
        <f>156318102-2</f>
        <v>156318100</v>
      </c>
      <c r="G207" s="2607">
        <f>F207+[4]B3B!$I$209</f>
        <v>138007605</v>
      </c>
      <c r="H207" s="2607">
        <f>G207</f>
        <v>138007605</v>
      </c>
      <c r="I207" s="1053">
        <v>147707261.79675344</v>
      </c>
      <c r="J207" s="1054">
        <v>161556743.74186158</v>
      </c>
      <c r="K207" s="1054">
        <v>176094881.59956163</v>
      </c>
      <c r="L207" s="208"/>
      <c r="M207" s="209"/>
      <c r="N207" s="209"/>
      <c r="O207" s="209"/>
      <c r="P207" s="209"/>
      <c r="Q207" s="209"/>
      <c r="R207" s="209"/>
      <c r="S207" s="209"/>
      <c r="T207" s="209"/>
      <c r="U207" s="209"/>
      <c r="V207" s="209"/>
      <c r="W207" s="209"/>
    </row>
    <row r="208" spans="1:23" ht="11.25" customHeight="1" x14ac:dyDescent="0.25">
      <c r="A208" s="1169" t="str">
        <f t="shared" si="27"/>
        <v>4.2 - Public Safety, Enforcement and Disaster Management</v>
      </c>
      <c r="B208" s="1046"/>
      <c r="C208" s="1053">
        <v>166485312</v>
      </c>
      <c r="D208" s="1053">
        <v>169429944</v>
      </c>
      <c r="E208" s="1054">
        <f>176698483</f>
        <v>176698483</v>
      </c>
      <c r="F208" s="1055">
        <v>161473957</v>
      </c>
      <c r="G208" s="2607">
        <f>F208+[4]B3B!$I$210</f>
        <v>184705472</v>
      </c>
      <c r="H208" s="2607">
        <f>G208</f>
        <v>184705472</v>
      </c>
      <c r="I208" s="1053">
        <f>197687215.227179-91568000+54205000</f>
        <v>160324215.22717899</v>
      </c>
      <c r="J208" s="1054">
        <f>216222969.561552-65507000</f>
        <v>150715969.56155199</v>
      </c>
      <c r="K208" s="1054">
        <f>235680401.462444-12727000</f>
        <v>222953401.46244401</v>
      </c>
      <c r="L208" s="208"/>
      <c r="M208" s="209"/>
      <c r="N208" s="209"/>
      <c r="O208" s="209"/>
      <c r="P208" s="209"/>
      <c r="Q208" s="209"/>
      <c r="R208" s="209"/>
      <c r="S208" s="209"/>
      <c r="T208" s="209"/>
      <c r="U208" s="209"/>
      <c r="V208" s="209"/>
      <c r="W208" s="209"/>
    </row>
    <row r="209" spans="1:23" ht="11.25" customHeight="1" x14ac:dyDescent="0.25">
      <c r="A209" s="1169" t="str">
        <f t="shared" si="27"/>
        <v>4.3 - Regional Community Services Provision Management</v>
      </c>
      <c r="B209" s="1046"/>
      <c r="C209" s="1053">
        <v>95491883</v>
      </c>
      <c r="D209" s="1053">
        <v>109212866</v>
      </c>
      <c r="E209" s="1054">
        <f>106924916</f>
        <v>106924916</v>
      </c>
      <c r="F209" s="1055">
        <v>90707468</v>
      </c>
      <c r="G209" s="2607">
        <f>F209+[4]B3B!$I$211</f>
        <v>95558506</v>
      </c>
      <c r="H209" s="2607">
        <f>G209</f>
        <v>95558506</v>
      </c>
      <c r="I209" s="1053">
        <v>102274690.28318588</v>
      </c>
      <c r="J209" s="1054">
        <f>111864276.193102+25000000</f>
        <v>136864276.193102</v>
      </c>
      <c r="K209" s="1054">
        <f>121930697.631044+89358000</f>
        <v>211288697.631044</v>
      </c>
      <c r="L209" s="208"/>
      <c r="M209" s="209"/>
      <c r="N209" s="209"/>
      <c r="O209" s="209"/>
      <c r="P209" s="209"/>
      <c r="Q209" s="209"/>
      <c r="R209" s="209"/>
      <c r="S209" s="209"/>
      <c r="T209" s="209"/>
      <c r="U209" s="209"/>
      <c r="V209" s="209"/>
      <c r="W209" s="209"/>
    </row>
    <row r="210" spans="1:23" ht="11.25" customHeight="1" x14ac:dyDescent="0.25">
      <c r="A210" s="1169">
        <f t="shared" si="27"/>
        <v>0</v>
      </c>
      <c r="B210" s="1046"/>
      <c r="C210" s="1053"/>
      <c r="D210" s="1053"/>
      <c r="E210" s="1054"/>
      <c r="F210" s="1055"/>
      <c r="G210" s="1053"/>
      <c r="H210" s="1056"/>
      <c r="I210" s="1053"/>
      <c r="J210" s="1054"/>
      <c r="K210" s="1054"/>
      <c r="L210" s="208"/>
      <c r="M210" s="209"/>
      <c r="N210" s="209"/>
      <c r="O210" s="209"/>
      <c r="P210" s="209"/>
      <c r="Q210" s="209"/>
      <c r="R210" s="209"/>
      <c r="S210" s="209"/>
      <c r="T210" s="209"/>
      <c r="U210" s="209"/>
      <c r="V210" s="209"/>
      <c r="W210" s="209"/>
    </row>
    <row r="211" spans="1:23" ht="11.25" hidden="1" customHeight="1" x14ac:dyDescent="0.25">
      <c r="A211" s="1169">
        <f t="shared" si="27"/>
        <v>0</v>
      </c>
      <c r="B211" s="1046"/>
      <c r="C211" s="1053"/>
      <c r="D211" s="1053"/>
      <c r="E211" s="1054"/>
      <c r="F211" s="1055"/>
      <c r="G211" s="1053"/>
      <c r="H211" s="1056"/>
      <c r="I211" s="1053"/>
      <c r="J211" s="1054"/>
      <c r="K211" s="1054"/>
      <c r="L211" s="208"/>
      <c r="M211" s="209"/>
      <c r="N211" s="209"/>
      <c r="O211" s="209"/>
      <c r="P211" s="209"/>
      <c r="Q211" s="209"/>
      <c r="R211" s="209"/>
      <c r="S211" s="209"/>
      <c r="T211" s="209"/>
      <c r="U211" s="209"/>
      <c r="V211" s="209"/>
      <c r="W211" s="209"/>
    </row>
    <row r="212" spans="1:23" ht="11.25" hidden="1" customHeight="1" x14ac:dyDescent="0.25">
      <c r="A212" s="1169">
        <f t="shared" si="27"/>
        <v>0</v>
      </c>
      <c r="B212" s="1046"/>
      <c r="C212" s="1053"/>
      <c r="D212" s="1053"/>
      <c r="E212" s="1054"/>
      <c r="F212" s="1055"/>
      <c r="G212" s="1053"/>
      <c r="H212" s="1056"/>
      <c r="I212" s="1053"/>
      <c r="J212" s="1054"/>
      <c r="K212" s="1054"/>
      <c r="L212" s="208"/>
      <c r="M212" s="209"/>
      <c r="N212" s="209"/>
      <c r="O212" s="209"/>
      <c r="P212" s="209"/>
      <c r="Q212" s="209"/>
      <c r="R212" s="209"/>
      <c r="S212" s="209"/>
      <c r="T212" s="209"/>
      <c r="U212" s="209"/>
      <c r="V212" s="209"/>
      <c r="W212" s="209"/>
    </row>
    <row r="213" spans="1:23" ht="11.25" hidden="1" customHeight="1" x14ac:dyDescent="0.25">
      <c r="A213" s="1169">
        <f t="shared" si="27"/>
        <v>0</v>
      </c>
      <c r="B213" s="1046"/>
      <c r="C213" s="1053"/>
      <c r="D213" s="1053"/>
      <c r="E213" s="1054"/>
      <c r="F213" s="1055"/>
      <c r="G213" s="1053"/>
      <c r="H213" s="1056"/>
      <c r="I213" s="1053"/>
      <c r="J213" s="1054"/>
      <c r="K213" s="1054"/>
      <c r="L213" s="208"/>
      <c r="M213" s="209"/>
      <c r="N213" s="209"/>
      <c r="O213" s="209"/>
      <c r="P213" s="209"/>
      <c r="Q213" s="209"/>
      <c r="R213" s="209"/>
      <c r="S213" s="209"/>
      <c r="T213" s="209"/>
      <c r="U213" s="209"/>
      <c r="V213" s="209"/>
      <c r="W213" s="209"/>
    </row>
    <row r="214" spans="1:23" ht="11.25" hidden="1" customHeight="1" x14ac:dyDescent="0.25">
      <c r="A214" s="1169">
        <f t="shared" si="27"/>
        <v>0</v>
      </c>
      <c r="B214" s="1046"/>
      <c r="C214" s="1053"/>
      <c r="D214" s="1053"/>
      <c r="E214" s="1054"/>
      <c r="F214" s="1055"/>
      <c r="G214" s="1053"/>
      <c r="H214" s="1056"/>
      <c r="I214" s="1053"/>
      <c r="J214" s="1054"/>
      <c r="K214" s="1054"/>
      <c r="L214" s="208"/>
      <c r="M214" s="209"/>
      <c r="N214" s="209"/>
      <c r="O214" s="209"/>
      <c r="P214" s="209"/>
      <c r="Q214" s="209"/>
      <c r="R214" s="209"/>
      <c r="S214" s="209"/>
      <c r="T214" s="209"/>
      <c r="U214" s="209"/>
      <c r="V214" s="209"/>
      <c r="W214" s="209"/>
    </row>
    <row r="215" spans="1:23" ht="11.25" hidden="1" customHeight="1" x14ac:dyDescent="0.25">
      <c r="A215" s="1169">
        <f t="shared" si="27"/>
        <v>0</v>
      </c>
      <c r="B215" s="1046"/>
      <c r="C215" s="1053"/>
      <c r="D215" s="1053"/>
      <c r="E215" s="1054"/>
      <c r="F215" s="1055"/>
      <c r="G215" s="1053"/>
      <c r="H215" s="1056"/>
      <c r="I215" s="1053"/>
      <c r="J215" s="1054"/>
      <c r="K215" s="1054"/>
      <c r="L215" s="208"/>
      <c r="M215" s="209"/>
      <c r="N215" s="209"/>
      <c r="O215" s="209"/>
      <c r="P215" s="209"/>
      <c r="Q215" s="209"/>
      <c r="R215" s="209"/>
      <c r="S215" s="209"/>
      <c r="T215" s="209"/>
      <c r="U215" s="209"/>
      <c r="V215" s="209"/>
      <c r="W215" s="209"/>
    </row>
    <row r="216" spans="1:23" ht="11.25" hidden="1" customHeight="1" x14ac:dyDescent="0.25">
      <c r="A216" s="1169">
        <f t="shared" si="27"/>
        <v>0</v>
      </c>
      <c r="B216" s="1046"/>
      <c r="C216" s="1053"/>
      <c r="D216" s="1053"/>
      <c r="E216" s="1054"/>
      <c r="F216" s="1055"/>
      <c r="G216" s="1053"/>
      <c r="H216" s="1056"/>
      <c r="I216" s="1053"/>
      <c r="J216" s="1054"/>
      <c r="K216" s="1054"/>
      <c r="L216" s="208"/>
      <c r="M216" s="209"/>
      <c r="N216" s="209"/>
      <c r="O216" s="209"/>
      <c r="P216" s="209"/>
      <c r="Q216" s="209"/>
      <c r="R216" s="209"/>
      <c r="S216" s="209"/>
      <c r="T216" s="209"/>
      <c r="U216" s="209"/>
      <c r="V216" s="209"/>
      <c r="W216" s="209"/>
    </row>
    <row r="217" spans="1:23" ht="15" hidden="1" customHeight="1" x14ac:dyDescent="0.25">
      <c r="A217" s="1168" t="str">
        <f>A49</f>
        <v>Vote 5 - [NAME OF VOTE 5]</v>
      </c>
      <c r="B217" s="1057"/>
      <c r="C217" s="976">
        <f t="shared" ref="C217:K217" si="28">SUM(C218:C227)</f>
        <v>0</v>
      </c>
      <c r="D217" s="976">
        <f t="shared" si="28"/>
        <v>0</v>
      </c>
      <c r="E217" s="977">
        <f t="shared" si="28"/>
        <v>0</v>
      </c>
      <c r="F217" s="978">
        <f t="shared" si="28"/>
        <v>0</v>
      </c>
      <c r="G217" s="976">
        <f t="shared" si="28"/>
        <v>0</v>
      </c>
      <c r="H217" s="979">
        <f t="shared" si="28"/>
        <v>0</v>
      </c>
      <c r="I217" s="976">
        <f>SUM(I218:I227)</f>
        <v>0</v>
      </c>
      <c r="J217" s="977">
        <f>SUM(J218:J227)</f>
        <v>0</v>
      </c>
      <c r="K217" s="977">
        <f t="shared" si="28"/>
        <v>0</v>
      </c>
      <c r="L217" s="208"/>
      <c r="M217" s="209"/>
      <c r="N217" s="209"/>
      <c r="O217" s="209"/>
      <c r="P217" s="209"/>
      <c r="Q217" s="209"/>
      <c r="R217" s="209"/>
      <c r="S217" s="209"/>
      <c r="T217" s="209"/>
      <c r="U217" s="209"/>
      <c r="V217" s="209"/>
      <c r="W217" s="209"/>
    </row>
    <row r="218" spans="1:23" ht="11.25" hidden="1" customHeight="1" x14ac:dyDescent="0.25">
      <c r="A218" s="1169" t="str">
        <f t="shared" ref="A218:A227" si="29">A50</f>
        <v>5.1 - [Name of sub-vote]</v>
      </c>
      <c r="B218" s="1046"/>
      <c r="C218" s="1053"/>
      <c r="D218" s="1053"/>
      <c r="E218" s="1054"/>
      <c r="F218" s="1055"/>
      <c r="G218" s="1053"/>
      <c r="H218" s="1056"/>
      <c r="I218" s="1053"/>
      <c r="J218" s="1054"/>
      <c r="K218" s="1054"/>
      <c r="L218" s="208"/>
      <c r="M218" s="209"/>
      <c r="N218" s="209"/>
      <c r="O218" s="209"/>
      <c r="P218" s="209"/>
      <c r="Q218" s="209"/>
      <c r="R218" s="209"/>
      <c r="S218" s="209"/>
      <c r="T218" s="209"/>
      <c r="U218" s="209"/>
      <c r="V218" s="209"/>
      <c r="W218" s="209"/>
    </row>
    <row r="219" spans="1:23" ht="11.25" hidden="1" customHeight="1" x14ac:dyDescent="0.25">
      <c r="A219" s="1169">
        <f t="shared" si="29"/>
        <v>0</v>
      </c>
      <c r="B219" s="1046"/>
      <c r="C219" s="1053"/>
      <c r="D219" s="1053"/>
      <c r="E219" s="1054"/>
      <c r="F219" s="1055"/>
      <c r="G219" s="1053"/>
      <c r="H219" s="1056"/>
      <c r="I219" s="1053"/>
      <c r="J219" s="1054"/>
      <c r="K219" s="1054"/>
      <c r="L219" s="208"/>
      <c r="M219" s="209"/>
      <c r="N219" s="209"/>
      <c r="O219" s="209"/>
      <c r="P219" s="209"/>
      <c r="Q219" s="209"/>
      <c r="R219" s="209"/>
      <c r="S219" s="209"/>
      <c r="T219" s="209"/>
      <c r="U219" s="209"/>
      <c r="V219" s="209"/>
      <c r="W219" s="209"/>
    </row>
    <row r="220" spans="1:23" ht="11.25" hidden="1" customHeight="1" x14ac:dyDescent="0.25">
      <c r="A220" s="1169">
        <f t="shared" si="29"/>
        <v>0</v>
      </c>
      <c r="B220" s="1046"/>
      <c r="C220" s="1053"/>
      <c r="D220" s="1053"/>
      <c r="E220" s="1054"/>
      <c r="F220" s="1055"/>
      <c r="G220" s="1053"/>
      <c r="H220" s="1056"/>
      <c r="I220" s="1053"/>
      <c r="J220" s="1054"/>
      <c r="K220" s="1054"/>
      <c r="L220" s="208"/>
      <c r="M220" s="209"/>
      <c r="N220" s="209"/>
      <c r="O220" s="209"/>
      <c r="P220" s="209"/>
      <c r="Q220" s="209"/>
      <c r="R220" s="209"/>
      <c r="S220" s="209"/>
      <c r="T220" s="209"/>
      <c r="U220" s="209"/>
      <c r="V220" s="209"/>
      <c r="W220" s="209"/>
    </row>
    <row r="221" spans="1:23" ht="11.25" hidden="1" customHeight="1" x14ac:dyDescent="0.25">
      <c r="A221" s="1169">
        <f t="shared" si="29"/>
        <v>0</v>
      </c>
      <c r="B221" s="1046"/>
      <c r="C221" s="1053"/>
      <c r="D221" s="1053"/>
      <c r="E221" s="1054"/>
      <c r="F221" s="1055"/>
      <c r="G221" s="1053"/>
      <c r="H221" s="1056"/>
      <c r="I221" s="1053"/>
      <c r="J221" s="1054"/>
      <c r="K221" s="1054"/>
      <c r="L221" s="208"/>
      <c r="M221" s="209"/>
      <c r="N221" s="209"/>
      <c r="O221" s="209"/>
      <c r="P221" s="209"/>
      <c r="Q221" s="209"/>
      <c r="R221" s="209"/>
      <c r="S221" s="209"/>
      <c r="T221" s="209"/>
      <c r="U221" s="209"/>
      <c r="V221" s="209"/>
      <c r="W221" s="209"/>
    </row>
    <row r="222" spans="1:23" ht="11.25" hidden="1" customHeight="1" x14ac:dyDescent="0.25">
      <c r="A222" s="1169">
        <f t="shared" si="29"/>
        <v>0</v>
      </c>
      <c r="B222" s="1046"/>
      <c r="C222" s="1053"/>
      <c r="D222" s="1053"/>
      <c r="E222" s="1054"/>
      <c r="F222" s="1055"/>
      <c r="G222" s="1053"/>
      <c r="H222" s="1056"/>
      <c r="I222" s="1053"/>
      <c r="J222" s="1054"/>
      <c r="K222" s="1054"/>
      <c r="L222" s="208"/>
      <c r="M222" s="209"/>
      <c r="N222" s="209"/>
      <c r="O222" s="209"/>
      <c r="P222" s="209"/>
      <c r="Q222" s="209"/>
      <c r="R222" s="209"/>
      <c r="S222" s="209"/>
      <c r="T222" s="209"/>
      <c r="U222" s="209"/>
      <c r="V222" s="209"/>
      <c r="W222" s="209"/>
    </row>
    <row r="223" spans="1:23" ht="11.25" hidden="1" customHeight="1" x14ac:dyDescent="0.25">
      <c r="A223" s="1169">
        <f t="shared" si="29"/>
        <v>0</v>
      </c>
      <c r="B223" s="1046"/>
      <c r="C223" s="1053"/>
      <c r="D223" s="1053"/>
      <c r="E223" s="1054"/>
      <c r="F223" s="1055"/>
      <c r="G223" s="1053"/>
      <c r="H223" s="1056"/>
      <c r="I223" s="1053"/>
      <c r="J223" s="1054"/>
      <c r="K223" s="1054"/>
      <c r="L223" s="208"/>
      <c r="M223" s="209"/>
      <c r="N223" s="209"/>
      <c r="O223" s="209"/>
      <c r="P223" s="209"/>
      <c r="Q223" s="209"/>
      <c r="R223" s="209"/>
      <c r="S223" s="209"/>
      <c r="T223" s="209"/>
      <c r="U223" s="209"/>
      <c r="V223" s="209"/>
      <c r="W223" s="209"/>
    </row>
    <row r="224" spans="1:23" ht="11.25" hidden="1" customHeight="1" x14ac:dyDescent="0.25">
      <c r="A224" s="1169">
        <f t="shared" si="29"/>
        <v>0</v>
      </c>
      <c r="B224" s="1046"/>
      <c r="C224" s="1053"/>
      <c r="D224" s="1053"/>
      <c r="E224" s="1054"/>
      <c r="F224" s="1055"/>
      <c r="G224" s="1053"/>
      <c r="H224" s="1056"/>
      <c r="I224" s="1053"/>
      <c r="J224" s="1054"/>
      <c r="K224" s="1054"/>
      <c r="L224" s="208"/>
      <c r="M224" s="209"/>
      <c r="N224" s="209"/>
      <c r="O224" s="209"/>
      <c r="P224" s="209"/>
      <c r="Q224" s="209"/>
      <c r="R224" s="209"/>
      <c r="S224" s="209"/>
      <c r="T224" s="209"/>
      <c r="U224" s="209"/>
      <c r="V224" s="209"/>
      <c r="W224" s="209"/>
    </row>
    <row r="225" spans="1:23" ht="11.25" hidden="1" customHeight="1" x14ac:dyDescent="0.25">
      <c r="A225" s="1169">
        <f t="shared" si="29"/>
        <v>0</v>
      </c>
      <c r="B225" s="1046"/>
      <c r="C225" s="1053"/>
      <c r="D225" s="1053"/>
      <c r="E225" s="1054"/>
      <c r="F225" s="1055"/>
      <c r="G225" s="1053"/>
      <c r="H225" s="1056"/>
      <c r="I225" s="1053"/>
      <c r="J225" s="1054"/>
      <c r="K225" s="1054"/>
      <c r="L225" s="208"/>
      <c r="M225" s="209"/>
      <c r="N225" s="209"/>
      <c r="O225" s="209"/>
      <c r="P225" s="209"/>
      <c r="Q225" s="209"/>
      <c r="R225" s="209"/>
      <c r="S225" s="209"/>
      <c r="T225" s="209"/>
      <c r="U225" s="209"/>
      <c r="V225" s="209"/>
      <c r="W225" s="209"/>
    </row>
    <row r="226" spans="1:23" ht="11.25" hidden="1" customHeight="1" x14ac:dyDescent="0.25">
      <c r="A226" s="1169">
        <f t="shared" si="29"/>
        <v>0</v>
      </c>
      <c r="B226" s="1046"/>
      <c r="C226" s="1053"/>
      <c r="D226" s="1053"/>
      <c r="E226" s="1054"/>
      <c r="F226" s="1055"/>
      <c r="G226" s="1053"/>
      <c r="H226" s="1056"/>
      <c r="I226" s="1053"/>
      <c r="J226" s="1054"/>
      <c r="K226" s="1054"/>
      <c r="L226" s="208"/>
      <c r="M226" s="209"/>
      <c r="N226" s="209"/>
      <c r="O226" s="209"/>
      <c r="P226" s="209"/>
      <c r="Q226" s="209"/>
      <c r="R226" s="209"/>
      <c r="S226" s="209"/>
      <c r="T226" s="209"/>
      <c r="U226" s="209"/>
      <c r="V226" s="209"/>
      <c r="W226" s="209"/>
    </row>
    <row r="227" spans="1:23" ht="11.25" hidden="1" customHeight="1" x14ac:dyDescent="0.25">
      <c r="A227" s="1169">
        <f t="shared" si="29"/>
        <v>0</v>
      </c>
      <c r="B227" s="1046"/>
      <c r="C227" s="1053"/>
      <c r="D227" s="1053"/>
      <c r="E227" s="1054"/>
      <c r="F227" s="1055"/>
      <c r="G227" s="1053"/>
      <c r="H227" s="1056"/>
      <c r="I227" s="1053"/>
      <c r="J227" s="1054"/>
      <c r="K227" s="1054"/>
      <c r="L227" s="208"/>
      <c r="M227" s="209"/>
      <c r="N227" s="209"/>
      <c r="O227" s="209"/>
      <c r="P227" s="209"/>
      <c r="Q227" s="209"/>
      <c r="R227" s="209"/>
      <c r="S227" s="209"/>
      <c r="T227" s="209"/>
      <c r="U227" s="209"/>
      <c r="V227" s="209"/>
      <c r="W227" s="209"/>
    </row>
    <row r="228" spans="1:23" ht="15" hidden="1" customHeight="1" x14ac:dyDescent="0.25">
      <c r="A228" s="1168" t="str">
        <f>A60</f>
        <v>Vote 6 - [NAME OF VOTE 6]</v>
      </c>
      <c r="B228" s="1057"/>
      <c r="C228" s="976">
        <f t="shared" ref="C228:K228" si="30">SUM(C229:C238)</f>
        <v>0</v>
      </c>
      <c r="D228" s="976">
        <f t="shared" si="30"/>
        <v>0</v>
      </c>
      <c r="E228" s="977">
        <f t="shared" si="30"/>
        <v>0</v>
      </c>
      <c r="F228" s="978">
        <f t="shared" si="30"/>
        <v>0</v>
      </c>
      <c r="G228" s="976">
        <f t="shared" si="30"/>
        <v>0</v>
      </c>
      <c r="H228" s="979">
        <f t="shared" si="30"/>
        <v>0</v>
      </c>
      <c r="I228" s="976">
        <f t="shared" si="30"/>
        <v>0</v>
      </c>
      <c r="J228" s="977">
        <f t="shared" si="30"/>
        <v>0</v>
      </c>
      <c r="K228" s="977">
        <f t="shared" si="30"/>
        <v>0</v>
      </c>
      <c r="L228" s="208"/>
      <c r="M228" s="209"/>
      <c r="N228" s="209"/>
      <c r="O228" s="209"/>
      <c r="P228" s="209"/>
      <c r="Q228" s="209"/>
      <c r="R228" s="209"/>
      <c r="S228" s="209"/>
      <c r="T228" s="209"/>
      <c r="U228" s="209"/>
      <c r="V228" s="209"/>
      <c r="W228" s="209"/>
    </row>
    <row r="229" spans="1:23" ht="11.25" hidden="1" customHeight="1" x14ac:dyDescent="0.25">
      <c r="A229" s="1169" t="str">
        <f t="shared" ref="A229:A238" si="31">A61</f>
        <v>6.1 - [Name of sub-vote]</v>
      </c>
      <c r="B229" s="1046"/>
      <c r="C229" s="1053"/>
      <c r="D229" s="1053"/>
      <c r="E229" s="1054"/>
      <c r="F229" s="1055"/>
      <c r="G229" s="1053"/>
      <c r="H229" s="1056"/>
      <c r="I229" s="1053"/>
      <c r="J229" s="1054"/>
      <c r="K229" s="1054"/>
      <c r="L229" s="208"/>
      <c r="M229" s="209"/>
      <c r="N229" s="209"/>
      <c r="O229" s="209"/>
      <c r="P229" s="209"/>
      <c r="Q229" s="209"/>
      <c r="R229" s="209"/>
      <c r="S229" s="209"/>
      <c r="T229" s="209"/>
      <c r="U229" s="209"/>
      <c r="V229" s="209"/>
      <c r="W229" s="209"/>
    </row>
    <row r="230" spans="1:23" ht="11.25" hidden="1" customHeight="1" x14ac:dyDescent="0.25">
      <c r="A230" s="1169">
        <f t="shared" si="31"/>
        <v>0</v>
      </c>
      <c r="B230" s="1046"/>
      <c r="C230" s="1053"/>
      <c r="D230" s="1053"/>
      <c r="E230" s="1054"/>
      <c r="F230" s="1055"/>
      <c r="G230" s="1053"/>
      <c r="H230" s="1056"/>
      <c r="I230" s="1053"/>
      <c r="J230" s="1054"/>
      <c r="K230" s="1054"/>
      <c r="L230" s="208"/>
      <c r="M230" s="209"/>
      <c r="N230" s="209"/>
      <c r="O230" s="209"/>
      <c r="P230" s="209"/>
      <c r="Q230" s="209"/>
      <c r="R230" s="209"/>
      <c r="S230" s="209"/>
      <c r="T230" s="209"/>
      <c r="U230" s="209"/>
      <c r="V230" s="209"/>
      <c r="W230" s="209"/>
    </row>
    <row r="231" spans="1:23" ht="11.25" hidden="1" customHeight="1" x14ac:dyDescent="0.25">
      <c r="A231" s="1169">
        <f t="shared" si="31"/>
        <v>0</v>
      </c>
      <c r="B231" s="1046"/>
      <c r="C231" s="1053"/>
      <c r="D231" s="1053"/>
      <c r="E231" s="1054"/>
      <c r="F231" s="1055"/>
      <c r="G231" s="1053"/>
      <c r="H231" s="1056"/>
      <c r="I231" s="1053"/>
      <c r="J231" s="1054"/>
      <c r="K231" s="1054"/>
      <c r="L231" s="208"/>
      <c r="M231" s="209"/>
      <c r="N231" s="209"/>
      <c r="O231" s="209"/>
      <c r="P231" s="209"/>
      <c r="Q231" s="209"/>
      <c r="R231" s="209"/>
      <c r="S231" s="209"/>
      <c r="T231" s="209"/>
      <c r="U231" s="209"/>
      <c r="V231" s="209"/>
      <c r="W231" s="209"/>
    </row>
    <row r="232" spans="1:23" ht="11.25" hidden="1" customHeight="1" x14ac:dyDescent="0.25">
      <c r="A232" s="1169">
        <f t="shared" si="31"/>
        <v>0</v>
      </c>
      <c r="B232" s="1046"/>
      <c r="C232" s="1053"/>
      <c r="D232" s="1053"/>
      <c r="E232" s="1054"/>
      <c r="F232" s="1055"/>
      <c r="G232" s="1053"/>
      <c r="H232" s="1056"/>
      <c r="I232" s="1053"/>
      <c r="J232" s="1054"/>
      <c r="K232" s="1054"/>
      <c r="L232" s="208"/>
      <c r="M232" s="209"/>
      <c r="N232" s="209"/>
      <c r="O232" s="209"/>
      <c r="P232" s="209"/>
      <c r="Q232" s="209"/>
      <c r="R232" s="209"/>
      <c r="S232" s="209"/>
      <c r="T232" s="209"/>
      <c r="U232" s="209"/>
      <c r="V232" s="209"/>
      <c r="W232" s="209"/>
    </row>
    <row r="233" spans="1:23" ht="11.25" hidden="1" customHeight="1" x14ac:dyDescent="0.25">
      <c r="A233" s="1169">
        <f t="shared" si="31"/>
        <v>0</v>
      </c>
      <c r="B233" s="1046"/>
      <c r="C233" s="1053"/>
      <c r="D233" s="1053"/>
      <c r="E233" s="1054"/>
      <c r="F233" s="1055"/>
      <c r="G233" s="1053"/>
      <c r="H233" s="1056"/>
      <c r="I233" s="1053"/>
      <c r="J233" s="1054"/>
      <c r="K233" s="1054"/>
      <c r="L233" s="208"/>
      <c r="M233" s="209"/>
      <c r="N233" s="209"/>
      <c r="O233" s="209"/>
      <c r="P233" s="209"/>
      <c r="Q233" s="209"/>
      <c r="R233" s="209"/>
      <c r="S233" s="209"/>
      <c r="T233" s="209"/>
      <c r="U233" s="209"/>
      <c r="V233" s="209"/>
      <c r="W233" s="209"/>
    </row>
    <row r="234" spans="1:23" ht="11.25" hidden="1" customHeight="1" x14ac:dyDescent="0.25">
      <c r="A234" s="1169">
        <f t="shared" si="31"/>
        <v>0</v>
      </c>
      <c r="B234" s="1046"/>
      <c r="C234" s="1053"/>
      <c r="D234" s="1053"/>
      <c r="E234" s="1054"/>
      <c r="F234" s="1055"/>
      <c r="G234" s="1053"/>
      <c r="H234" s="1056"/>
      <c r="I234" s="1053"/>
      <c r="J234" s="1054"/>
      <c r="K234" s="1054"/>
      <c r="L234" s="208"/>
      <c r="M234" s="209"/>
      <c r="N234" s="209"/>
      <c r="O234" s="209"/>
      <c r="P234" s="209"/>
      <c r="Q234" s="209"/>
      <c r="R234" s="209"/>
      <c r="S234" s="209"/>
      <c r="T234" s="209"/>
      <c r="U234" s="209"/>
      <c r="V234" s="209"/>
      <c r="W234" s="209"/>
    </row>
    <row r="235" spans="1:23" ht="11.25" hidden="1" customHeight="1" x14ac:dyDescent="0.25">
      <c r="A235" s="1169">
        <f t="shared" si="31"/>
        <v>0</v>
      </c>
      <c r="B235" s="1046"/>
      <c r="C235" s="1053"/>
      <c r="D235" s="1053"/>
      <c r="E235" s="1054"/>
      <c r="F235" s="1055"/>
      <c r="G235" s="1053"/>
      <c r="H235" s="1056"/>
      <c r="I235" s="1053"/>
      <c r="J235" s="1054"/>
      <c r="K235" s="1054"/>
      <c r="L235" s="208"/>
      <c r="M235" s="209"/>
      <c r="N235" s="209"/>
      <c r="O235" s="209"/>
      <c r="P235" s="209"/>
      <c r="Q235" s="209"/>
      <c r="R235" s="209"/>
      <c r="S235" s="209"/>
      <c r="T235" s="209"/>
      <c r="U235" s="209"/>
      <c r="V235" s="209"/>
      <c r="W235" s="209"/>
    </row>
    <row r="236" spans="1:23" ht="11.25" hidden="1" customHeight="1" x14ac:dyDescent="0.25">
      <c r="A236" s="1169">
        <f t="shared" si="31"/>
        <v>0</v>
      </c>
      <c r="B236" s="1046"/>
      <c r="C236" s="1053"/>
      <c r="D236" s="1053"/>
      <c r="E236" s="1054"/>
      <c r="F236" s="1055"/>
      <c r="G236" s="1053"/>
      <c r="H236" s="1056"/>
      <c r="I236" s="1053"/>
      <c r="J236" s="1054"/>
      <c r="K236" s="1054"/>
      <c r="L236" s="208"/>
      <c r="M236" s="209"/>
      <c r="N236" s="209"/>
      <c r="O236" s="209"/>
      <c r="P236" s="209"/>
      <c r="Q236" s="209"/>
      <c r="R236" s="209"/>
      <c r="S236" s="209"/>
      <c r="T236" s="209"/>
      <c r="U236" s="209"/>
      <c r="V236" s="209"/>
      <c r="W236" s="209"/>
    </row>
    <row r="237" spans="1:23" ht="11.25" hidden="1" customHeight="1" x14ac:dyDescent="0.25">
      <c r="A237" s="1169">
        <f t="shared" si="31"/>
        <v>0</v>
      </c>
      <c r="B237" s="1046"/>
      <c r="C237" s="1053"/>
      <c r="D237" s="1053"/>
      <c r="E237" s="1054"/>
      <c r="F237" s="1055"/>
      <c r="G237" s="1053"/>
      <c r="H237" s="1056"/>
      <c r="I237" s="1053"/>
      <c r="J237" s="1054"/>
      <c r="K237" s="1054"/>
      <c r="L237" s="208"/>
      <c r="M237" s="209"/>
      <c r="N237" s="209"/>
      <c r="O237" s="209"/>
      <c r="P237" s="209"/>
      <c r="Q237" s="209"/>
      <c r="R237" s="209"/>
      <c r="S237" s="209"/>
      <c r="T237" s="209"/>
      <c r="U237" s="209"/>
      <c r="V237" s="209"/>
      <c r="W237" s="209"/>
    </row>
    <row r="238" spans="1:23" ht="11.25" hidden="1" customHeight="1" x14ac:dyDescent="0.25">
      <c r="A238" s="1169">
        <f t="shared" si="31"/>
        <v>0</v>
      </c>
      <c r="B238" s="1046"/>
      <c r="C238" s="1053"/>
      <c r="D238" s="1053"/>
      <c r="E238" s="1054"/>
      <c r="F238" s="1055"/>
      <c r="G238" s="1053"/>
      <c r="H238" s="1056"/>
      <c r="I238" s="1053"/>
      <c r="J238" s="1054"/>
      <c r="K238" s="1054"/>
      <c r="L238" s="208"/>
      <c r="M238" s="209"/>
      <c r="N238" s="209"/>
      <c r="O238" s="209"/>
      <c r="P238" s="209"/>
      <c r="Q238" s="209"/>
      <c r="R238" s="209"/>
      <c r="S238" s="209"/>
      <c r="T238" s="209"/>
      <c r="U238" s="209"/>
      <c r="V238" s="209"/>
      <c r="W238" s="209"/>
    </row>
    <row r="239" spans="1:23" ht="15" hidden="1" customHeight="1" x14ac:dyDescent="0.25">
      <c r="A239" s="1168" t="str">
        <f>A71</f>
        <v>Vote 7 - [NAME OF VOTE 7]</v>
      </c>
      <c r="B239" s="1057"/>
      <c r="C239" s="976">
        <f t="shared" ref="C239:K239" si="32">SUM(C240:C249)</f>
        <v>0</v>
      </c>
      <c r="D239" s="976">
        <f t="shared" si="32"/>
        <v>0</v>
      </c>
      <c r="E239" s="977">
        <f t="shared" si="32"/>
        <v>0</v>
      </c>
      <c r="F239" s="978">
        <f t="shared" si="32"/>
        <v>0</v>
      </c>
      <c r="G239" s="976">
        <f t="shared" si="32"/>
        <v>0</v>
      </c>
      <c r="H239" s="979">
        <f t="shared" si="32"/>
        <v>0</v>
      </c>
      <c r="I239" s="976">
        <f t="shared" si="32"/>
        <v>0</v>
      </c>
      <c r="J239" s="977">
        <f t="shared" si="32"/>
        <v>0</v>
      </c>
      <c r="K239" s="977">
        <f t="shared" si="32"/>
        <v>0</v>
      </c>
      <c r="L239" s="208"/>
      <c r="M239" s="209"/>
      <c r="N239" s="209"/>
      <c r="O239" s="209"/>
      <c r="P239" s="209"/>
      <c r="Q239" s="209"/>
      <c r="R239" s="209"/>
      <c r="S239" s="209"/>
      <c r="T239" s="209"/>
      <c r="U239" s="209"/>
      <c r="V239" s="209"/>
      <c r="W239" s="209"/>
    </row>
    <row r="240" spans="1:23" ht="11.25" hidden="1" customHeight="1" x14ac:dyDescent="0.25">
      <c r="A240" s="1169" t="str">
        <f t="shared" ref="A240:A249" si="33">A72</f>
        <v>7.1 - [Name of sub-vote]</v>
      </c>
      <c r="B240" s="1046"/>
      <c r="C240" s="1053"/>
      <c r="D240" s="1053"/>
      <c r="E240" s="1054"/>
      <c r="F240" s="1055"/>
      <c r="G240" s="1053"/>
      <c r="H240" s="1056"/>
      <c r="I240" s="1053"/>
      <c r="J240" s="1054"/>
      <c r="K240" s="1054"/>
      <c r="L240" s="208"/>
      <c r="M240" s="209"/>
      <c r="N240" s="209"/>
      <c r="O240" s="209"/>
      <c r="P240" s="209"/>
      <c r="Q240" s="209"/>
      <c r="R240" s="209"/>
      <c r="S240" s="209"/>
      <c r="T240" s="209"/>
      <c r="U240" s="209"/>
      <c r="V240" s="209"/>
      <c r="W240" s="209"/>
    </row>
    <row r="241" spans="1:23" ht="11.25" hidden="1" customHeight="1" x14ac:dyDescent="0.25">
      <c r="A241" s="1169">
        <f t="shared" si="33"/>
        <v>0</v>
      </c>
      <c r="B241" s="1046"/>
      <c r="C241" s="1053"/>
      <c r="D241" s="1053"/>
      <c r="E241" s="1054"/>
      <c r="F241" s="1055"/>
      <c r="G241" s="1053"/>
      <c r="H241" s="1056"/>
      <c r="I241" s="1053"/>
      <c r="J241" s="1054"/>
      <c r="K241" s="1054"/>
      <c r="L241" s="208"/>
      <c r="M241" s="209"/>
      <c r="N241" s="209"/>
      <c r="O241" s="209"/>
      <c r="P241" s="209"/>
      <c r="Q241" s="209"/>
      <c r="R241" s="209"/>
      <c r="S241" s="209"/>
      <c r="T241" s="209"/>
      <c r="U241" s="209"/>
      <c r="V241" s="209"/>
      <c r="W241" s="209"/>
    </row>
    <row r="242" spans="1:23" ht="11.25" hidden="1" customHeight="1" x14ac:dyDescent="0.25">
      <c r="A242" s="1169">
        <f t="shared" si="33"/>
        <v>0</v>
      </c>
      <c r="B242" s="1046"/>
      <c r="C242" s="1053"/>
      <c r="D242" s="1053"/>
      <c r="E242" s="1054"/>
      <c r="F242" s="1055"/>
      <c r="G242" s="1053"/>
      <c r="H242" s="1056"/>
      <c r="I242" s="1053"/>
      <c r="J242" s="1054"/>
      <c r="K242" s="1054"/>
      <c r="L242" s="208"/>
      <c r="M242" s="209"/>
      <c r="N242" s="209"/>
      <c r="O242" s="209"/>
      <c r="P242" s="209"/>
      <c r="Q242" s="209"/>
      <c r="R242" s="209"/>
      <c r="S242" s="209"/>
      <c r="T242" s="209"/>
      <c r="U242" s="209"/>
      <c r="V242" s="209"/>
      <c r="W242" s="209"/>
    </row>
    <row r="243" spans="1:23" ht="11.25" hidden="1" customHeight="1" x14ac:dyDescent="0.25">
      <c r="A243" s="1169">
        <f t="shared" si="33"/>
        <v>0</v>
      </c>
      <c r="B243" s="1046"/>
      <c r="C243" s="1053"/>
      <c r="D243" s="1053"/>
      <c r="E243" s="1054"/>
      <c r="F243" s="1055"/>
      <c r="G243" s="1053"/>
      <c r="H243" s="1056"/>
      <c r="I243" s="1053"/>
      <c r="J243" s="1054"/>
      <c r="K243" s="1054"/>
      <c r="L243" s="208"/>
      <c r="M243" s="209"/>
      <c r="N243" s="209"/>
      <c r="O243" s="209"/>
      <c r="P243" s="209"/>
      <c r="Q243" s="209"/>
      <c r="R243" s="209"/>
      <c r="S243" s="209"/>
      <c r="T243" s="209"/>
      <c r="U243" s="209"/>
      <c r="V243" s="209"/>
      <c r="W243" s="209"/>
    </row>
    <row r="244" spans="1:23" ht="11.25" hidden="1" customHeight="1" x14ac:dyDescent="0.25">
      <c r="A244" s="1169">
        <f t="shared" si="33"/>
        <v>0</v>
      </c>
      <c r="B244" s="1046"/>
      <c r="C244" s="1053"/>
      <c r="D244" s="1053"/>
      <c r="E244" s="1054"/>
      <c r="F244" s="1055"/>
      <c r="G244" s="1053"/>
      <c r="H244" s="1056"/>
      <c r="I244" s="1053"/>
      <c r="J244" s="1054"/>
      <c r="K244" s="1054"/>
      <c r="L244" s="208"/>
      <c r="M244" s="209"/>
      <c r="N244" s="209"/>
      <c r="O244" s="209"/>
      <c r="P244" s="209"/>
      <c r="Q244" s="209"/>
      <c r="R244" s="209"/>
      <c r="S244" s="209"/>
      <c r="T244" s="209"/>
      <c r="U244" s="209"/>
      <c r="V244" s="209"/>
      <c r="W244" s="209"/>
    </row>
    <row r="245" spans="1:23" ht="11.25" hidden="1" customHeight="1" x14ac:dyDescent="0.25">
      <c r="A245" s="1169">
        <f t="shared" si="33"/>
        <v>0</v>
      </c>
      <c r="B245" s="1046"/>
      <c r="C245" s="1053"/>
      <c r="D245" s="1053"/>
      <c r="E245" s="1054"/>
      <c r="F245" s="1055"/>
      <c r="G245" s="1053"/>
      <c r="H245" s="1056"/>
      <c r="I245" s="1053"/>
      <c r="J245" s="1054"/>
      <c r="K245" s="1054"/>
      <c r="L245" s="208"/>
      <c r="M245" s="209"/>
      <c r="N245" s="209"/>
      <c r="O245" s="209"/>
      <c r="P245" s="209"/>
      <c r="Q245" s="209"/>
      <c r="R245" s="209"/>
      <c r="S245" s="209"/>
      <c r="T245" s="209"/>
      <c r="U245" s="209"/>
      <c r="V245" s="209"/>
      <c r="W245" s="209"/>
    </row>
    <row r="246" spans="1:23" ht="11.25" hidden="1" customHeight="1" x14ac:dyDescent="0.25">
      <c r="A246" s="1169">
        <f t="shared" si="33"/>
        <v>0</v>
      </c>
      <c r="B246" s="1046"/>
      <c r="C246" s="1053"/>
      <c r="D246" s="1053"/>
      <c r="E246" s="1054"/>
      <c r="F246" s="1055"/>
      <c r="G246" s="1053"/>
      <c r="H246" s="1056"/>
      <c r="I246" s="1053"/>
      <c r="J246" s="1054"/>
      <c r="K246" s="1054"/>
      <c r="L246" s="208"/>
      <c r="M246" s="209"/>
      <c r="N246" s="209"/>
      <c r="O246" s="209"/>
      <c r="P246" s="209"/>
      <c r="Q246" s="209"/>
      <c r="R246" s="209"/>
      <c r="S246" s="209"/>
      <c r="T246" s="209"/>
      <c r="U246" s="209"/>
      <c r="V246" s="209"/>
      <c r="W246" s="209"/>
    </row>
    <row r="247" spans="1:23" ht="11.25" hidden="1" customHeight="1" x14ac:dyDescent="0.25">
      <c r="A247" s="1169">
        <f t="shared" si="33"/>
        <v>0</v>
      </c>
      <c r="B247" s="1046"/>
      <c r="C247" s="1053"/>
      <c r="D247" s="1053"/>
      <c r="E247" s="1054"/>
      <c r="F247" s="1055"/>
      <c r="G247" s="1053"/>
      <c r="H247" s="1056"/>
      <c r="I247" s="1053"/>
      <c r="J247" s="1054"/>
      <c r="K247" s="1054"/>
      <c r="L247" s="208"/>
      <c r="M247" s="209"/>
      <c r="N247" s="209"/>
      <c r="O247" s="209"/>
      <c r="P247" s="209"/>
      <c r="Q247" s="209"/>
      <c r="R247" s="209"/>
      <c r="S247" s="209"/>
      <c r="T247" s="209"/>
      <c r="U247" s="209"/>
      <c r="V247" s="209"/>
      <c r="W247" s="209"/>
    </row>
    <row r="248" spans="1:23" ht="11.25" hidden="1" customHeight="1" x14ac:dyDescent="0.25">
      <c r="A248" s="1169">
        <f t="shared" si="33"/>
        <v>0</v>
      </c>
      <c r="B248" s="1046"/>
      <c r="C248" s="1053"/>
      <c r="D248" s="1053"/>
      <c r="E248" s="1054"/>
      <c r="F248" s="1055"/>
      <c r="G248" s="1053"/>
      <c r="H248" s="1056"/>
      <c r="I248" s="1053"/>
      <c r="J248" s="1054"/>
      <c r="K248" s="1054"/>
      <c r="L248" s="208"/>
      <c r="M248" s="209"/>
      <c r="N248" s="209"/>
      <c r="O248" s="209"/>
      <c r="P248" s="209"/>
      <c r="Q248" s="209"/>
      <c r="R248" s="209"/>
      <c r="S248" s="209"/>
      <c r="T248" s="209"/>
      <c r="U248" s="209"/>
      <c r="V248" s="209"/>
      <c r="W248" s="209"/>
    </row>
    <row r="249" spans="1:23" ht="11.25" hidden="1" customHeight="1" x14ac:dyDescent="0.25">
      <c r="A249" s="1169">
        <f t="shared" si="33"/>
        <v>0</v>
      </c>
      <c r="B249" s="1046"/>
      <c r="C249" s="1053"/>
      <c r="D249" s="1053"/>
      <c r="E249" s="1054"/>
      <c r="F249" s="1055"/>
      <c r="G249" s="1053"/>
      <c r="H249" s="1056"/>
      <c r="I249" s="1053"/>
      <c r="J249" s="1054"/>
      <c r="K249" s="1054"/>
      <c r="L249" s="208"/>
      <c r="M249" s="209"/>
      <c r="N249" s="209"/>
      <c r="O249" s="209"/>
      <c r="P249" s="209"/>
      <c r="Q249" s="209"/>
      <c r="R249" s="209"/>
      <c r="S249" s="209"/>
      <c r="T249" s="209"/>
      <c r="U249" s="209"/>
      <c r="V249" s="209"/>
      <c r="W249" s="209"/>
    </row>
    <row r="250" spans="1:23" ht="15" hidden="1" customHeight="1" x14ac:dyDescent="0.25">
      <c r="A250" s="1168" t="str">
        <f>A82</f>
        <v>Vote 8 - [NAME OF VOTE 8]</v>
      </c>
      <c r="B250" s="1046"/>
      <c r="C250" s="976">
        <f t="shared" ref="C250:K250" si="34">SUM(C251:C260)</f>
        <v>0</v>
      </c>
      <c r="D250" s="976">
        <f t="shared" si="34"/>
        <v>0</v>
      </c>
      <c r="E250" s="977">
        <f t="shared" si="34"/>
        <v>0</v>
      </c>
      <c r="F250" s="978">
        <f t="shared" si="34"/>
        <v>0</v>
      </c>
      <c r="G250" s="976">
        <f t="shared" si="34"/>
        <v>0</v>
      </c>
      <c r="H250" s="979">
        <f t="shared" si="34"/>
        <v>0</v>
      </c>
      <c r="I250" s="976">
        <f t="shared" si="34"/>
        <v>0</v>
      </c>
      <c r="J250" s="977">
        <f t="shared" si="34"/>
        <v>0</v>
      </c>
      <c r="K250" s="977">
        <f t="shared" si="34"/>
        <v>0</v>
      </c>
      <c r="L250" s="208"/>
      <c r="M250" s="209"/>
      <c r="N250" s="209"/>
      <c r="O250" s="209"/>
      <c r="P250" s="209"/>
      <c r="Q250" s="209"/>
      <c r="R250" s="209"/>
      <c r="S250" s="209"/>
      <c r="T250" s="209"/>
      <c r="U250" s="209"/>
      <c r="V250" s="209"/>
      <c r="W250" s="209"/>
    </row>
    <row r="251" spans="1:23" ht="11.25" hidden="1" customHeight="1" x14ac:dyDescent="0.25">
      <c r="A251" s="1169" t="str">
        <f t="shared" ref="A251:A271" si="35">A83</f>
        <v>8.1 - [Name of sub-vote]</v>
      </c>
      <c r="B251" s="1046"/>
      <c r="C251" s="1053"/>
      <c r="D251" s="1053"/>
      <c r="E251" s="1054"/>
      <c r="F251" s="1055"/>
      <c r="G251" s="1053"/>
      <c r="H251" s="1056"/>
      <c r="I251" s="1053"/>
      <c r="J251" s="1054"/>
      <c r="K251" s="1054"/>
      <c r="L251" s="208"/>
      <c r="M251" s="209"/>
      <c r="N251" s="209"/>
      <c r="O251" s="209"/>
      <c r="P251" s="209"/>
      <c r="Q251" s="209"/>
      <c r="R251" s="209"/>
      <c r="S251" s="209"/>
      <c r="T251" s="209"/>
      <c r="U251" s="209"/>
      <c r="V251" s="209"/>
      <c r="W251" s="209"/>
    </row>
    <row r="252" spans="1:23" ht="11.25" hidden="1" customHeight="1" x14ac:dyDescent="0.25">
      <c r="A252" s="1169">
        <f t="shared" si="35"/>
        <v>0</v>
      </c>
      <c r="B252" s="1046"/>
      <c r="C252" s="1053"/>
      <c r="D252" s="1053"/>
      <c r="E252" s="1054"/>
      <c r="F252" s="1055"/>
      <c r="G252" s="1053"/>
      <c r="H252" s="1056"/>
      <c r="I252" s="1053"/>
      <c r="J252" s="1054"/>
      <c r="K252" s="1054"/>
      <c r="L252" s="208"/>
      <c r="M252" s="209"/>
      <c r="N252" s="209"/>
      <c r="O252" s="209"/>
      <c r="P252" s="209"/>
      <c r="Q252" s="209"/>
      <c r="R252" s="209"/>
      <c r="S252" s="209"/>
      <c r="T252" s="209"/>
      <c r="U252" s="209"/>
      <c r="V252" s="209"/>
      <c r="W252" s="209"/>
    </row>
    <row r="253" spans="1:23" ht="11.25" hidden="1" customHeight="1" x14ac:dyDescent="0.25">
      <c r="A253" s="1169">
        <f t="shared" si="35"/>
        <v>0</v>
      </c>
      <c r="B253" s="1046"/>
      <c r="C253" s="1053"/>
      <c r="D253" s="1053"/>
      <c r="E253" s="1054"/>
      <c r="F253" s="1055"/>
      <c r="G253" s="1053"/>
      <c r="H253" s="1056"/>
      <c r="I253" s="1053"/>
      <c r="J253" s="1054"/>
      <c r="K253" s="1054"/>
      <c r="L253" s="208"/>
      <c r="M253" s="209"/>
      <c r="N253" s="209"/>
      <c r="O253" s="209"/>
      <c r="P253" s="209"/>
      <c r="Q253" s="209"/>
      <c r="R253" s="209"/>
      <c r="S253" s="209"/>
      <c r="T253" s="209"/>
      <c r="U253" s="209"/>
      <c r="V253" s="209"/>
      <c r="W253" s="209"/>
    </row>
    <row r="254" spans="1:23" ht="11.25" hidden="1" customHeight="1" x14ac:dyDescent="0.25">
      <c r="A254" s="1169">
        <f t="shared" si="35"/>
        <v>0</v>
      </c>
      <c r="B254" s="1046"/>
      <c r="C254" s="1053"/>
      <c r="D254" s="1053"/>
      <c r="E254" s="1054"/>
      <c r="F254" s="1055"/>
      <c r="G254" s="1053"/>
      <c r="H254" s="1056"/>
      <c r="I254" s="1053"/>
      <c r="J254" s="1054"/>
      <c r="K254" s="1054"/>
      <c r="L254" s="208"/>
      <c r="M254" s="209"/>
      <c r="N254" s="209"/>
      <c r="O254" s="209"/>
      <c r="P254" s="209"/>
      <c r="Q254" s="209"/>
      <c r="R254" s="209"/>
      <c r="S254" s="209"/>
      <c r="T254" s="209"/>
      <c r="U254" s="209"/>
      <c r="V254" s="209"/>
      <c r="W254" s="209"/>
    </row>
    <row r="255" spans="1:23" ht="11.25" hidden="1" customHeight="1" x14ac:dyDescent="0.25">
      <c r="A255" s="1169">
        <f t="shared" si="35"/>
        <v>0</v>
      </c>
      <c r="B255" s="1046"/>
      <c r="C255" s="1053"/>
      <c r="D255" s="1053"/>
      <c r="E255" s="1054"/>
      <c r="F255" s="1055"/>
      <c r="G255" s="1053"/>
      <c r="H255" s="1056"/>
      <c r="I255" s="1053"/>
      <c r="J255" s="1054"/>
      <c r="K255" s="1054"/>
      <c r="L255" s="208"/>
      <c r="M255" s="209"/>
      <c r="N255" s="209"/>
      <c r="O255" s="209"/>
      <c r="P255" s="209"/>
      <c r="Q255" s="209"/>
      <c r="R255" s="209"/>
      <c r="S255" s="209"/>
      <c r="T255" s="209"/>
      <c r="U255" s="209"/>
      <c r="V255" s="209"/>
      <c r="W255" s="209"/>
    </row>
    <row r="256" spans="1:23" ht="11.25" hidden="1" customHeight="1" x14ac:dyDescent="0.25">
      <c r="A256" s="1169">
        <f t="shared" si="35"/>
        <v>0</v>
      </c>
      <c r="B256" s="1046"/>
      <c r="C256" s="1053"/>
      <c r="D256" s="1053"/>
      <c r="E256" s="1054"/>
      <c r="F256" s="1055"/>
      <c r="G256" s="1053"/>
      <c r="H256" s="1056"/>
      <c r="I256" s="1053"/>
      <c r="J256" s="1054"/>
      <c r="K256" s="1054"/>
      <c r="L256" s="208"/>
      <c r="M256" s="209"/>
      <c r="N256" s="209"/>
      <c r="O256" s="209"/>
      <c r="P256" s="209"/>
      <c r="Q256" s="209"/>
      <c r="R256" s="209"/>
      <c r="S256" s="209"/>
      <c r="T256" s="209"/>
      <c r="U256" s="209"/>
      <c r="V256" s="209"/>
      <c r="W256" s="209"/>
    </row>
    <row r="257" spans="1:23" ht="11.25" hidden="1" customHeight="1" x14ac:dyDescent="0.25">
      <c r="A257" s="1169">
        <f t="shared" si="35"/>
        <v>0</v>
      </c>
      <c r="B257" s="1046"/>
      <c r="C257" s="1053"/>
      <c r="D257" s="1053"/>
      <c r="E257" s="1054"/>
      <c r="F257" s="1055"/>
      <c r="G257" s="1053"/>
      <c r="H257" s="1056"/>
      <c r="I257" s="1053"/>
      <c r="J257" s="1054"/>
      <c r="K257" s="1054"/>
      <c r="L257" s="208"/>
      <c r="M257" s="209"/>
      <c r="N257" s="209"/>
      <c r="O257" s="209"/>
      <c r="P257" s="209"/>
      <c r="Q257" s="209"/>
      <c r="R257" s="209"/>
      <c r="S257" s="209"/>
      <c r="T257" s="209"/>
      <c r="U257" s="209"/>
      <c r="V257" s="209"/>
      <c r="W257" s="209"/>
    </row>
    <row r="258" spans="1:23" ht="11.25" hidden="1" customHeight="1" x14ac:dyDescent="0.25">
      <c r="A258" s="1169">
        <f t="shared" si="35"/>
        <v>0</v>
      </c>
      <c r="B258" s="1046"/>
      <c r="C258" s="1053"/>
      <c r="D258" s="1053"/>
      <c r="E258" s="1054"/>
      <c r="F258" s="1055"/>
      <c r="G258" s="1053"/>
      <c r="H258" s="1056"/>
      <c r="I258" s="1053"/>
      <c r="J258" s="1054"/>
      <c r="K258" s="1054"/>
      <c r="L258" s="208"/>
      <c r="M258" s="209"/>
      <c r="N258" s="209"/>
      <c r="O258" s="209"/>
      <c r="P258" s="209"/>
      <c r="Q258" s="209"/>
      <c r="R258" s="209"/>
      <c r="S258" s="209"/>
      <c r="T258" s="209"/>
      <c r="U258" s="209"/>
      <c r="V258" s="209"/>
      <c r="W258" s="209"/>
    </row>
    <row r="259" spans="1:23" ht="11.25" hidden="1" customHeight="1" x14ac:dyDescent="0.25">
      <c r="A259" s="1169">
        <f t="shared" si="35"/>
        <v>0</v>
      </c>
      <c r="B259" s="1046"/>
      <c r="C259" s="1053"/>
      <c r="D259" s="1053"/>
      <c r="E259" s="1054"/>
      <c r="F259" s="1055"/>
      <c r="G259" s="1053"/>
      <c r="H259" s="1056"/>
      <c r="I259" s="1053"/>
      <c r="J259" s="1054"/>
      <c r="K259" s="1054"/>
      <c r="L259" s="208"/>
      <c r="M259" s="209"/>
      <c r="N259" s="209"/>
      <c r="O259" s="209"/>
      <c r="P259" s="209"/>
      <c r="Q259" s="209"/>
      <c r="R259" s="209"/>
      <c r="S259" s="209"/>
      <c r="T259" s="209"/>
      <c r="U259" s="209"/>
      <c r="V259" s="209"/>
      <c r="W259" s="209"/>
    </row>
    <row r="260" spans="1:23" ht="11.25" hidden="1" customHeight="1" x14ac:dyDescent="0.25">
      <c r="A260" s="1169">
        <f t="shared" si="35"/>
        <v>0</v>
      </c>
      <c r="B260" s="1046"/>
      <c r="C260" s="1053"/>
      <c r="D260" s="1053"/>
      <c r="E260" s="1054"/>
      <c r="F260" s="1055"/>
      <c r="G260" s="1053"/>
      <c r="H260" s="1056"/>
      <c r="I260" s="1053"/>
      <c r="J260" s="1054"/>
      <c r="K260" s="1054"/>
      <c r="L260" s="208"/>
      <c r="M260" s="209"/>
      <c r="N260" s="209"/>
      <c r="O260" s="209"/>
      <c r="P260" s="209"/>
      <c r="Q260" s="209"/>
      <c r="R260" s="209"/>
      <c r="S260" s="209"/>
      <c r="T260" s="209"/>
      <c r="U260" s="209"/>
      <c r="V260" s="209"/>
      <c r="W260" s="209"/>
    </row>
    <row r="261" spans="1:23" ht="15" hidden="1" customHeight="1" x14ac:dyDescent="0.25">
      <c r="A261" s="1168" t="str">
        <f t="shared" si="35"/>
        <v>Vote 9 - [NAME OF VOTE 9]</v>
      </c>
      <c r="B261" s="1046"/>
      <c r="C261" s="976">
        <f t="shared" ref="C261:K261" si="36">SUM(C262:C271)</f>
        <v>0</v>
      </c>
      <c r="D261" s="976">
        <f t="shared" si="36"/>
        <v>0</v>
      </c>
      <c r="E261" s="977">
        <f t="shared" si="36"/>
        <v>0</v>
      </c>
      <c r="F261" s="978">
        <f t="shared" si="36"/>
        <v>0</v>
      </c>
      <c r="G261" s="976">
        <f t="shared" si="36"/>
        <v>0</v>
      </c>
      <c r="H261" s="979">
        <f t="shared" si="36"/>
        <v>0</v>
      </c>
      <c r="I261" s="976">
        <f t="shared" si="36"/>
        <v>0</v>
      </c>
      <c r="J261" s="977">
        <f t="shared" si="36"/>
        <v>0</v>
      </c>
      <c r="K261" s="977">
        <f t="shared" si="36"/>
        <v>0</v>
      </c>
      <c r="L261" s="208"/>
      <c r="M261" s="209"/>
      <c r="N261" s="209"/>
      <c r="O261" s="209"/>
      <c r="P261" s="209"/>
      <c r="Q261" s="209"/>
      <c r="R261" s="209"/>
      <c r="S261" s="209"/>
      <c r="T261" s="209"/>
      <c r="U261" s="209"/>
      <c r="V261" s="209"/>
      <c r="W261" s="209"/>
    </row>
    <row r="262" spans="1:23" ht="11.25" hidden="1" customHeight="1" x14ac:dyDescent="0.25">
      <c r="A262" s="1169" t="str">
        <f t="shared" si="35"/>
        <v>9.1 - [Name of sub-vote]</v>
      </c>
      <c r="B262" s="1046"/>
      <c r="C262" s="1053"/>
      <c r="D262" s="1053"/>
      <c r="E262" s="1054"/>
      <c r="F262" s="1055"/>
      <c r="G262" s="1053"/>
      <c r="H262" s="1056"/>
      <c r="I262" s="1053"/>
      <c r="J262" s="1054"/>
      <c r="K262" s="1054"/>
      <c r="L262" s="208"/>
      <c r="M262" s="209"/>
      <c r="N262" s="209"/>
      <c r="O262" s="209"/>
      <c r="P262" s="209"/>
      <c r="Q262" s="209"/>
      <c r="R262" s="209"/>
      <c r="S262" s="209"/>
      <c r="T262" s="209"/>
      <c r="U262" s="209"/>
      <c r="V262" s="209"/>
      <c r="W262" s="209"/>
    </row>
    <row r="263" spans="1:23" ht="11.25" hidden="1" customHeight="1" x14ac:dyDescent="0.25">
      <c r="A263" s="1169">
        <f t="shared" si="35"/>
        <v>0</v>
      </c>
      <c r="B263" s="1046"/>
      <c r="C263" s="1053"/>
      <c r="D263" s="1053"/>
      <c r="E263" s="1054"/>
      <c r="F263" s="1055"/>
      <c r="G263" s="1053"/>
      <c r="H263" s="1056"/>
      <c r="I263" s="1053"/>
      <c r="J263" s="1054"/>
      <c r="K263" s="1054"/>
      <c r="L263" s="208"/>
      <c r="M263" s="209"/>
      <c r="N263" s="209"/>
      <c r="O263" s="209"/>
      <c r="P263" s="209"/>
      <c r="Q263" s="209"/>
      <c r="R263" s="209"/>
      <c r="S263" s="209"/>
      <c r="T263" s="209"/>
      <c r="U263" s="209"/>
      <c r="V263" s="209"/>
      <c r="W263" s="209"/>
    </row>
    <row r="264" spans="1:23" ht="11.25" hidden="1" customHeight="1" x14ac:dyDescent="0.25">
      <c r="A264" s="1169">
        <f t="shared" si="35"/>
        <v>0</v>
      </c>
      <c r="B264" s="1046"/>
      <c r="C264" s="1053"/>
      <c r="D264" s="1053"/>
      <c r="E264" s="1054"/>
      <c r="F264" s="1055"/>
      <c r="G264" s="1053"/>
      <c r="H264" s="1056"/>
      <c r="I264" s="1053"/>
      <c r="J264" s="1054"/>
      <c r="K264" s="1054"/>
      <c r="L264" s="208"/>
      <c r="M264" s="209"/>
      <c r="N264" s="209"/>
      <c r="O264" s="209"/>
      <c r="P264" s="209"/>
      <c r="Q264" s="209"/>
      <c r="R264" s="209"/>
      <c r="S264" s="209"/>
      <c r="T264" s="209"/>
      <c r="U264" s="209"/>
      <c r="V264" s="209"/>
      <c r="W264" s="209"/>
    </row>
    <row r="265" spans="1:23" ht="11.25" hidden="1" customHeight="1" x14ac:dyDescent="0.25">
      <c r="A265" s="1169">
        <f t="shared" si="35"/>
        <v>0</v>
      </c>
      <c r="B265" s="1046"/>
      <c r="C265" s="1053"/>
      <c r="D265" s="1053"/>
      <c r="E265" s="1054"/>
      <c r="F265" s="1055"/>
      <c r="G265" s="1053"/>
      <c r="H265" s="1056"/>
      <c r="I265" s="1053"/>
      <c r="J265" s="1054"/>
      <c r="K265" s="1054"/>
      <c r="L265" s="208"/>
      <c r="M265" s="209"/>
      <c r="N265" s="209"/>
      <c r="O265" s="209"/>
      <c r="P265" s="209"/>
      <c r="Q265" s="209"/>
      <c r="R265" s="209"/>
      <c r="S265" s="209"/>
      <c r="T265" s="209"/>
      <c r="U265" s="209"/>
      <c r="V265" s="209"/>
      <c r="W265" s="209"/>
    </row>
    <row r="266" spans="1:23" ht="11.25" hidden="1" customHeight="1" x14ac:dyDescent="0.25">
      <c r="A266" s="1169">
        <f t="shared" si="35"/>
        <v>0</v>
      </c>
      <c r="B266" s="1046"/>
      <c r="C266" s="1053"/>
      <c r="D266" s="1053"/>
      <c r="E266" s="1054"/>
      <c r="F266" s="1055"/>
      <c r="G266" s="1053"/>
      <c r="H266" s="1056"/>
      <c r="I266" s="1053"/>
      <c r="J266" s="1054"/>
      <c r="K266" s="1054"/>
      <c r="L266" s="208"/>
      <c r="M266" s="209"/>
      <c r="N266" s="209"/>
      <c r="O266" s="209"/>
      <c r="P266" s="209"/>
      <c r="Q266" s="209"/>
      <c r="R266" s="209"/>
      <c r="S266" s="209"/>
      <c r="T266" s="209"/>
      <c r="U266" s="209"/>
      <c r="V266" s="209"/>
      <c r="W266" s="209"/>
    </row>
    <row r="267" spans="1:23" ht="11.25" hidden="1" customHeight="1" x14ac:dyDescent="0.25">
      <c r="A267" s="1169">
        <f t="shared" si="35"/>
        <v>0</v>
      </c>
      <c r="B267" s="1046"/>
      <c r="C267" s="1053"/>
      <c r="D267" s="1053"/>
      <c r="E267" s="1054"/>
      <c r="F267" s="1055"/>
      <c r="G267" s="1053"/>
      <c r="H267" s="1056"/>
      <c r="I267" s="1053"/>
      <c r="J267" s="1054"/>
      <c r="K267" s="1054"/>
      <c r="L267" s="208"/>
      <c r="M267" s="209"/>
      <c r="N267" s="209"/>
      <c r="O267" s="209"/>
      <c r="P267" s="209"/>
      <c r="Q267" s="209"/>
      <c r="R267" s="209"/>
      <c r="S267" s="209"/>
      <c r="T267" s="209"/>
      <c r="U267" s="209"/>
      <c r="V267" s="209"/>
      <c r="W267" s="209"/>
    </row>
    <row r="268" spans="1:23" ht="11.25" hidden="1" customHeight="1" x14ac:dyDescent="0.25">
      <c r="A268" s="1169">
        <f t="shared" si="35"/>
        <v>0</v>
      </c>
      <c r="B268" s="1046"/>
      <c r="C268" s="1053"/>
      <c r="D268" s="1053"/>
      <c r="E268" s="1054"/>
      <c r="F268" s="1055"/>
      <c r="G268" s="1053"/>
      <c r="H268" s="1056"/>
      <c r="I268" s="1053"/>
      <c r="J268" s="1054"/>
      <c r="K268" s="1054"/>
      <c r="L268" s="208"/>
      <c r="M268" s="209"/>
      <c r="N268" s="209"/>
      <c r="O268" s="209"/>
      <c r="P268" s="209"/>
      <c r="Q268" s="209"/>
      <c r="R268" s="209"/>
      <c r="S268" s="209"/>
      <c r="T268" s="209"/>
      <c r="U268" s="209"/>
      <c r="V268" s="209"/>
      <c r="W268" s="209"/>
    </row>
    <row r="269" spans="1:23" ht="11.25" hidden="1" customHeight="1" x14ac:dyDescent="0.25">
      <c r="A269" s="1169">
        <f t="shared" si="35"/>
        <v>0</v>
      </c>
      <c r="B269" s="1046"/>
      <c r="C269" s="1053"/>
      <c r="D269" s="1053"/>
      <c r="E269" s="1054"/>
      <c r="F269" s="1055"/>
      <c r="G269" s="1053"/>
      <c r="H269" s="1056"/>
      <c r="I269" s="1053"/>
      <c r="J269" s="1054"/>
      <c r="K269" s="1054"/>
      <c r="L269" s="208"/>
      <c r="M269" s="209"/>
      <c r="N269" s="209"/>
      <c r="O269" s="209"/>
      <c r="P269" s="209"/>
      <c r="Q269" s="209"/>
      <c r="R269" s="209"/>
      <c r="S269" s="209"/>
      <c r="T269" s="209"/>
      <c r="U269" s="209"/>
      <c r="V269" s="209"/>
      <c r="W269" s="209"/>
    </row>
    <row r="270" spans="1:23" ht="11.25" hidden="1" customHeight="1" x14ac:dyDescent="0.25">
      <c r="A270" s="1169">
        <f t="shared" si="35"/>
        <v>0</v>
      </c>
      <c r="B270" s="1046"/>
      <c r="C270" s="1053"/>
      <c r="D270" s="1053"/>
      <c r="E270" s="1054"/>
      <c r="F270" s="1055"/>
      <c r="G270" s="1053"/>
      <c r="H270" s="1056"/>
      <c r="I270" s="1053"/>
      <c r="J270" s="1054"/>
      <c r="K270" s="1054"/>
      <c r="L270" s="208"/>
      <c r="M270" s="209"/>
      <c r="N270" s="209"/>
      <c r="O270" s="209"/>
      <c r="P270" s="209"/>
      <c r="Q270" s="209"/>
      <c r="R270" s="209"/>
      <c r="S270" s="209"/>
      <c r="T270" s="209"/>
      <c r="U270" s="209"/>
      <c r="V270" s="209"/>
      <c r="W270" s="209"/>
    </row>
    <row r="271" spans="1:23" ht="11.25" hidden="1" customHeight="1" x14ac:dyDescent="0.25">
      <c r="A271" s="1169">
        <f t="shared" si="35"/>
        <v>0</v>
      </c>
      <c r="B271" s="1046"/>
      <c r="C271" s="1053"/>
      <c r="D271" s="1053"/>
      <c r="E271" s="1054"/>
      <c r="F271" s="1055"/>
      <c r="G271" s="1053"/>
      <c r="H271" s="1056"/>
      <c r="I271" s="1053"/>
      <c r="J271" s="1054"/>
      <c r="K271" s="1054"/>
      <c r="L271" s="208"/>
      <c r="M271" s="209"/>
      <c r="N271" s="209"/>
      <c r="O271" s="209"/>
      <c r="P271" s="209"/>
      <c r="Q271" s="209"/>
      <c r="R271" s="209"/>
      <c r="S271" s="209"/>
      <c r="T271" s="209"/>
      <c r="U271" s="209"/>
      <c r="V271" s="209"/>
      <c r="W271" s="209"/>
    </row>
    <row r="272" spans="1:23" ht="15" hidden="1" customHeight="1" x14ac:dyDescent="0.25">
      <c r="A272" s="1168" t="str">
        <f>A104</f>
        <v>Vote 10 - [NAME OF VOTE 10]</v>
      </c>
      <c r="B272" s="1046"/>
      <c r="C272" s="976">
        <f t="shared" ref="C272:K272" si="37">SUM(C273:C282)</f>
        <v>0</v>
      </c>
      <c r="D272" s="976">
        <f t="shared" si="37"/>
        <v>0</v>
      </c>
      <c r="E272" s="977">
        <f t="shared" si="37"/>
        <v>0</v>
      </c>
      <c r="F272" s="978">
        <f t="shared" si="37"/>
        <v>0</v>
      </c>
      <c r="G272" s="976">
        <f t="shared" si="37"/>
        <v>0</v>
      </c>
      <c r="H272" s="979">
        <f t="shared" si="37"/>
        <v>0</v>
      </c>
      <c r="I272" s="976">
        <f t="shared" si="37"/>
        <v>0</v>
      </c>
      <c r="J272" s="977">
        <f t="shared" si="37"/>
        <v>0</v>
      </c>
      <c r="K272" s="977">
        <f t="shared" si="37"/>
        <v>0</v>
      </c>
      <c r="L272" s="208"/>
      <c r="M272" s="209"/>
      <c r="N272" s="209"/>
      <c r="O272" s="209"/>
      <c r="P272" s="209"/>
      <c r="Q272" s="209"/>
      <c r="R272" s="209"/>
      <c r="S272" s="209"/>
      <c r="T272" s="209"/>
      <c r="U272" s="209"/>
      <c r="V272" s="209"/>
      <c r="W272" s="209"/>
    </row>
    <row r="273" spans="1:23" ht="11.25" hidden="1" customHeight="1" x14ac:dyDescent="0.25">
      <c r="A273" s="1169" t="str">
        <f>A105</f>
        <v>10.1 - [Name of sub-vote]</v>
      </c>
      <c r="B273" s="1046"/>
      <c r="C273" s="1053"/>
      <c r="D273" s="1053"/>
      <c r="E273" s="1054"/>
      <c r="F273" s="1055"/>
      <c r="G273" s="1053"/>
      <c r="H273" s="1056"/>
      <c r="I273" s="1053"/>
      <c r="J273" s="1054"/>
      <c r="K273" s="1054"/>
      <c r="L273" s="208"/>
      <c r="M273" s="209"/>
      <c r="N273" s="209"/>
      <c r="O273" s="209"/>
      <c r="P273" s="209"/>
      <c r="Q273" s="209"/>
      <c r="R273" s="209"/>
      <c r="S273" s="209"/>
      <c r="T273" s="209"/>
      <c r="U273" s="209"/>
      <c r="V273" s="209"/>
      <c r="W273" s="209"/>
    </row>
    <row r="274" spans="1:23" ht="11.25" hidden="1" customHeight="1" x14ac:dyDescent="0.25">
      <c r="A274" s="1169">
        <f t="shared" ref="A274:A281" si="38">A106</f>
        <v>0</v>
      </c>
      <c r="B274" s="1046"/>
      <c r="C274" s="1053"/>
      <c r="D274" s="1053"/>
      <c r="E274" s="1054"/>
      <c r="F274" s="1055"/>
      <c r="G274" s="1053"/>
      <c r="H274" s="1056"/>
      <c r="I274" s="1053"/>
      <c r="J274" s="1054"/>
      <c r="K274" s="1054"/>
      <c r="L274" s="208"/>
      <c r="M274" s="209"/>
      <c r="N274" s="209"/>
      <c r="O274" s="209"/>
      <c r="P274" s="209"/>
      <c r="Q274" s="209"/>
      <c r="R274" s="209"/>
      <c r="S274" s="209"/>
      <c r="T274" s="209"/>
      <c r="U274" s="209"/>
      <c r="V274" s="209"/>
      <c r="W274" s="209"/>
    </row>
    <row r="275" spans="1:23" ht="11.25" hidden="1" customHeight="1" x14ac:dyDescent="0.25">
      <c r="A275" s="1169">
        <f t="shared" si="38"/>
        <v>0</v>
      </c>
      <c r="B275" s="1046"/>
      <c r="C275" s="1053"/>
      <c r="D275" s="1053"/>
      <c r="E275" s="1054"/>
      <c r="F275" s="1055"/>
      <c r="G275" s="1053"/>
      <c r="H275" s="1056"/>
      <c r="I275" s="1053"/>
      <c r="J275" s="1054"/>
      <c r="K275" s="1054"/>
      <c r="L275" s="208"/>
      <c r="M275" s="209"/>
      <c r="N275" s="209"/>
      <c r="O275" s="209"/>
      <c r="P275" s="209"/>
      <c r="Q275" s="209"/>
      <c r="R275" s="209"/>
      <c r="S275" s="209"/>
      <c r="T275" s="209"/>
      <c r="U275" s="209"/>
      <c r="V275" s="209"/>
      <c r="W275" s="209"/>
    </row>
    <row r="276" spans="1:23" ht="11.25" hidden="1" customHeight="1" x14ac:dyDescent="0.25">
      <c r="A276" s="1169">
        <f t="shared" si="38"/>
        <v>0</v>
      </c>
      <c r="B276" s="1046"/>
      <c r="C276" s="1053"/>
      <c r="D276" s="1053"/>
      <c r="E276" s="1054"/>
      <c r="F276" s="1055"/>
      <c r="G276" s="1053"/>
      <c r="H276" s="1056"/>
      <c r="I276" s="1053"/>
      <c r="J276" s="1054"/>
      <c r="K276" s="1054"/>
      <c r="L276" s="208"/>
      <c r="M276" s="209"/>
      <c r="N276" s="209"/>
      <c r="O276" s="209"/>
      <c r="P276" s="209"/>
      <c r="Q276" s="209"/>
      <c r="R276" s="209"/>
      <c r="S276" s="209"/>
      <c r="T276" s="209"/>
      <c r="U276" s="209"/>
      <c r="V276" s="209"/>
      <c r="W276" s="209"/>
    </row>
    <row r="277" spans="1:23" ht="11.25" hidden="1" customHeight="1" x14ac:dyDescent="0.25">
      <c r="A277" s="1169">
        <f t="shared" si="38"/>
        <v>0</v>
      </c>
      <c r="B277" s="1046"/>
      <c r="C277" s="1053"/>
      <c r="D277" s="1053"/>
      <c r="E277" s="1054"/>
      <c r="F277" s="1055"/>
      <c r="G277" s="1053"/>
      <c r="H277" s="1056"/>
      <c r="I277" s="1053"/>
      <c r="J277" s="1054"/>
      <c r="K277" s="1054"/>
      <c r="L277" s="208"/>
      <c r="M277" s="209"/>
      <c r="N277" s="209"/>
      <c r="O277" s="209"/>
      <c r="P277" s="209"/>
      <c r="Q277" s="209"/>
      <c r="R277" s="209"/>
      <c r="S277" s="209"/>
      <c r="T277" s="209"/>
      <c r="U277" s="209"/>
      <c r="V277" s="209"/>
      <c r="W277" s="209"/>
    </row>
    <row r="278" spans="1:23" ht="11.25" hidden="1" customHeight="1" x14ac:dyDescent="0.25">
      <c r="A278" s="1169">
        <f t="shared" si="38"/>
        <v>0</v>
      </c>
      <c r="B278" s="1046"/>
      <c r="C278" s="1053"/>
      <c r="D278" s="1053"/>
      <c r="E278" s="1054"/>
      <c r="F278" s="1055"/>
      <c r="G278" s="1053"/>
      <c r="H278" s="1056"/>
      <c r="I278" s="1053"/>
      <c r="J278" s="1054"/>
      <c r="K278" s="1054"/>
      <c r="L278" s="208"/>
      <c r="M278" s="209"/>
      <c r="N278" s="209"/>
      <c r="O278" s="209"/>
      <c r="P278" s="209"/>
      <c r="Q278" s="209"/>
      <c r="R278" s="209"/>
      <c r="S278" s="209"/>
      <c r="T278" s="209"/>
      <c r="U278" s="209"/>
      <c r="V278" s="209"/>
      <c r="W278" s="209"/>
    </row>
    <row r="279" spans="1:23" ht="11.25" hidden="1" customHeight="1" x14ac:dyDescent="0.25">
      <c r="A279" s="1169">
        <f t="shared" si="38"/>
        <v>0</v>
      </c>
      <c r="B279" s="1046"/>
      <c r="C279" s="1053"/>
      <c r="D279" s="1053"/>
      <c r="E279" s="1054"/>
      <c r="F279" s="1055"/>
      <c r="G279" s="1053"/>
      <c r="H279" s="1056"/>
      <c r="I279" s="1053"/>
      <c r="J279" s="1054"/>
      <c r="K279" s="1054"/>
      <c r="L279" s="208"/>
      <c r="M279" s="209"/>
      <c r="N279" s="209"/>
      <c r="O279" s="209"/>
      <c r="P279" s="209"/>
      <c r="Q279" s="209"/>
      <c r="R279" s="209"/>
      <c r="S279" s="209"/>
      <c r="T279" s="209"/>
      <c r="U279" s="209"/>
      <c r="V279" s="209"/>
      <c r="W279" s="209"/>
    </row>
    <row r="280" spans="1:23" ht="11.25" hidden="1" customHeight="1" x14ac:dyDescent="0.25">
      <c r="A280" s="1169">
        <f t="shared" si="38"/>
        <v>0</v>
      </c>
      <c r="B280" s="1046"/>
      <c r="C280" s="1053"/>
      <c r="D280" s="1053"/>
      <c r="E280" s="1054"/>
      <c r="F280" s="1055"/>
      <c r="G280" s="1053"/>
      <c r="H280" s="1056"/>
      <c r="I280" s="1053"/>
      <c r="J280" s="1054"/>
      <c r="K280" s="1054"/>
      <c r="L280" s="208"/>
      <c r="M280" s="209"/>
      <c r="N280" s="209"/>
      <c r="O280" s="209"/>
      <c r="P280" s="209"/>
      <c r="Q280" s="209"/>
      <c r="R280" s="209"/>
      <c r="S280" s="209"/>
      <c r="T280" s="209"/>
      <c r="U280" s="209"/>
      <c r="V280" s="209"/>
      <c r="W280" s="209"/>
    </row>
    <row r="281" spans="1:23" ht="11.25" hidden="1" customHeight="1" x14ac:dyDescent="0.25">
      <c r="A281" s="1169">
        <f t="shared" si="38"/>
        <v>0</v>
      </c>
      <c r="B281" s="1046"/>
      <c r="C281" s="1053"/>
      <c r="D281" s="1053"/>
      <c r="E281" s="1054"/>
      <c r="F281" s="1055"/>
      <c r="G281" s="1053"/>
      <c r="H281" s="1056"/>
      <c r="I281" s="1053"/>
      <c r="J281" s="1054"/>
      <c r="K281" s="1054"/>
      <c r="L281" s="208"/>
      <c r="M281" s="209"/>
      <c r="N281" s="209"/>
      <c r="O281" s="209"/>
      <c r="P281" s="209"/>
      <c r="Q281" s="209"/>
      <c r="R281" s="209"/>
      <c r="S281" s="209"/>
      <c r="T281" s="209"/>
      <c r="U281" s="209"/>
      <c r="V281" s="209"/>
      <c r="W281" s="209"/>
    </row>
    <row r="282" spans="1:23" ht="11.25" hidden="1" customHeight="1" x14ac:dyDescent="0.25">
      <c r="A282" s="1169">
        <f>A114</f>
        <v>0</v>
      </c>
      <c r="B282" s="1046"/>
      <c r="C282" s="1053"/>
      <c r="D282" s="1053"/>
      <c r="E282" s="1054"/>
      <c r="F282" s="1055"/>
      <c r="G282" s="1053"/>
      <c r="H282" s="1056"/>
      <c r="I282" s="1053"/>
      <c r="J282" s="1054"/>
      <c r="K282" s="1054"/>
      <c r="L282" s="208"/>
      <c r="M282" s="209"/>
      <c r="N282" s="209"/>
      <c r="O282" s="209"/>
      <c r="P282" s="209"/>
      <c r="Q282" s="209"/>
      <c r="R282" s="209"/>
      <c r="S282" s="209"/>
      <c r="T282" s="209"/>
      <c r="U282" s="209"/>
      <c r="V282" s="209"/>
      <c r="W282" s="209"/>
    </row>
    <row r="283" spans="1:23" ht="15" hidden="1" customHeight="1" x14ac:dyDescent="0.25">
      <c r="A283" s="1168" t="str">
        <f>A115</f>
        <v>Vote 11 - [NAME OF VOTE 11]</v>
      </c>
      <c r="B283" s="1046"/>
      <c r="C283" s="976">
        <f t="shared" ref="C283:K283" si="39">SUM(C284:C293)</f>
        <v>0</v>
      </c>
      <c r="D283" s="976">
        <f t="shared" si="39"/>
        <v>0</v>
      </c>
      <c r="E283" s="977">
        <f t="shared" si="39"/>
        <v>0</v>
      </c>
      <c r="F283" s="978">
        <f t="shared" si="39"/>
        <v>0</v>
      </c>
      <c r="G283" s="976">
        <f t="shared" si="39"/>
        <v>0</v>
      </c>
      <c r="H283" s="979">
        <f t="shared" si="39"/>
        <v>0</v>
      </c>
      <c r="I283" s="976">
        <f t="shared" si="39"/>
        <v>0</v>
      </c>
      <c r="J283" s="977">
        <f t="shared" si="39"/>
        <v>0</v>
      </c>
      <c r="K283" s="977">
        <f t="shared" si="39"/>
        <v>0</v>
      </c>
      <c r="L283" s="208"/>
      <c r="M283" s="209"/>
      <c r="N283" s="209"/>
      <c r="O283" s="209"/>
      <c r="P283" s="209"/>
      <c r="Q283" s="209"/>
      <c r="R283" s="209"/>
      <c r="S283" s="209"/>
      <c r="T283" s="209"/>
      <c r="U283" s="209"/>
      <c r="V283" s="209"/>
      <c r="W283" s="209"/>
    </row>
    <row r="284" spans="1:23" ht="11.25" hidden="1" customHeight="1" x14ac:dyDescent="0.25">
      <c r="A284" s="1169" t="str">
        <f>A116</f>
        <v>11.1 - [Name of sub-vote]</v>
      </c>
      <c r="B284" s="1046"/>
      <c r="C284" s="1053"/>
      <c r="D284" s="1053"/>
      <c r="E284" s="1054"/>
      <c r="F284" s="1055"/>
      <c r="G284" s="1053"/>
      <c r="H284" s="1056"/>
      <c r="I284" s="1053"/>
      <c r="J284" s="1054"/>
      <c r="K284" s="1054"/>
      <c r="L284" s="208"/>
      <c r="M284" s="209"/>
      <c r="N284" s="209"/>
      <c r="O284" s="209"/>
      <c r="P284" s="209"/>
      <c r="Q284" s="209"/>
      <c r="R284" s="209"/>
      <c r="S284" s="209"/>
      <c r="T284" s="209"/>
      <c r="U284" s="209"/>
      <c r="V284" s="209"/>
      <c r="W284" s="209"/>
    </row>
    <row r="285" spans="1:23" ht="11.25" hidden="1" customHeight="1" x14ac:dyDescent="0.25">
      <c r="A285" s="1169">
        <f t="shared" ref="A285:A337" si="40">A117</f>
        <v>0</v>
      </c>
      <c r="B285" s="1046"/>
      <c r="C285" s="1053"/>
      <c r="D285" s="1053"/>
      <c r="E285" s="1054"/>
      <c r="F285" s="1055"/>
      <c r="G285" s="1053"/>
      <c r="H285" s="1056"/>
      <c r="I285" s="1053"/>
      <c r="J285" s="1054"/>
      <c r="K285" s="1054"/>
      <c r="L285" s="208"/>
      <c r="M285" s="209"/>
      <c r="N285" s="209"/>
      <c r="O285" s="209"/>
      <c r="P285" s="209"/>
      <c r="Q285" s="209"/>
      <c r="R285" s="209"/>
      <c r="S285" s="209"/>
      <c r="T285" s="209"/>
      <c r="U285" s="209"/>
      <c r="V285" s="209"/>
      <c r="W285" s="209"/>
    </row>
    <row r="286" spans="1:23" ht="11.25" hidden="1" customHeight="1" x14ac:dyDescent="0.25">
      <c r="A286" s="1169">
        <f t="shared" si="40"/>
        <v>0</v>
      </c>
      <c r="B286" s="1046"/>
      <c r="C286" s="1053"/>
      <c r="D286" s="1053"/>
      <c r="E286" s="1054"/>
      <c r="F286" s="1055"/>
      <c r="G286" s="1053"/>
      <c r="H286" s="1056"/>
      <c r="I286" s="1053"/>
      <c r="J286" s="1054"/>
      <c r="K286" s="1054"/>
      <c r="L286" s="208"/>
      <c r="M286" s="209"/>
      <c r="N286" s="209"/>
      <c r="O286" s="209"/>
      <c r="P286" s="209"/>
      <c r="Q286" s="209"/>
      <c r="R286" s="209"/>
      <c r="S286" s="209"/>
      <c r="T286" s="209"/>
      <c r="U286" s="209"/>
      <c r="V286" s="209"/>
      <c r="W286" s="209"/>
    </row>
    <row r="287" spans="1:23" ht="11.25" hidden="1" customHeight="1" x14ac:dyDescent="0.25">
      <c r="A287" s="1169">
        <f t="shared" si="40"/>
        <v>0</v>
      </c>
      <c r="B287" s="1046"/>
      <c r="C287" s="1053"/>
      <c r="D287" s="1053"/>
      <c r="E287" s="1054"/>
      <c r="F287" s="1055"/>
      <c r="G287" s="1053"/>
      <c r="H287" s="1056"/>
      <c r="I287" s="1053"/>
      <c r="J287" s="1054"/>
      <c r="K287" s="1054"/>
      <c r="L287" s="208"/>
      <c r="M287" s="209"/>
      <c r="N287" s="209"/>
      <c r="O287" s="209"/>
      <c r="P287" s="209"/>
      <c r="Q287" s="209"/>
      <c r="R287" s="209"/>
      <c r="S287" s="209"/>
      <c r="T287" s="209"/>
      <c r="U287" s="209"/>
      <c r="V287" s="209"/>
      <c r="W287" s="209"/>
    </row>
    <row r="288" spans="1:23" ht="11.25" hidden="1" customHeight="1" x14ac:dyDescent="0.25">
      <c r="A288" s="1169">
        <f t="shared" si="40"/>
        <v>0</v>
      </c>
      <c r="B288" s="1046"/>
      <c r="C288" s="1053"/>
      <c r="D288" s="1053"/>
      <c r="E288" s="1054"/>
      <c r="F288" s="1055"/>
      <c r="G288" s="1053"/>
      <c r="H288" s="1056"/>
      <c r="I288" s="1053"/>
      <c r="J288" s="1054"/>
      <c r="K288" s="1054"/>
      <c r="L288" s="208"/>
      <c r="M288" s="209"/>
      <c r="N288" s="209"/>
      <c r="O288" s="209"/>
      <c r="P288" s="209"/>
      <c r="Q288" s="209"/>
      <c r="R288" s="209"/>
      <c r="S288" s="209"/>
      <c r="T288" s="209"/>
      <c r="U288" s="209"/>
      <c r="V288" s="209"/>
      <c r="W288" s="209"/>
    </row>
    <row r="289" spans="1:23" ht="11.25" hidden="1" customHeight="1" x14ac:dyDescent="0.25">
      <c r="A289" s="1169">
        <f t="shared" si="40"/>
        <v>0</v>
      </c>
      <c r="B289" s="1046"/>
      <c r="C289" s="1053"/>
      <c r="D289" s="1053"/>
      <c r="E289" s="1054"/>
      <c r="F289" s="1055"/>
      <c r="G289" s="1053"/>
      <c r="H289" s="1056"/>
      <c r="I289" s="1053"/>
      <c r="J289" s="1054"/>
      <c r="K289" s="1054"/>
      <c r="L289" s="208"/>
      <c r="M289" s="209"/>
      <c r="N289" s="209"/>
      <c r="O289" s="209"/>
      <c r="P289" s="209"/>
      <c r="Q289" s="209"/>
      <c r="R289" s="209"/>
      <c r="S289" s="209"/>
      <c r="T289" s="209"/>
      <c r="U289" s="209"/>
      <c r="V289" s="209"/>
      <c r="W289" s="209"/>
    </row>
    <row r="290" spans="1:23" ht="11.25" hidden="1" customHeight="1" x14ac:dyDescent="0.25">
      <c r="A290" s="1169">
        <f t="shared" si="40"/>
        <v>0</v>
      </c>
      <c r="B290" s="1046"/>
      <c r="C290" s="1053"/>
      <c r="D290" s="1053"/>
      <c r="E290" s="1054"/>
      <c r="F290" s="1055"/>
      <c r="G290" s="1053"/>
      <c r="H290" s="1056"/>
      <c r="I290" s="1053"/>
      <c r="J290" s="1054"/>
      <c r="K290" s="1054"/>
      <c r="L290" s="208"/>
      <c r="M290" s="209"/>
      <c r="N290" s="209"/>
      <c r="O290" s="209"/>
      <c r="P290" s="209"/>
      <c r="Q290" s="209"/>
      <c r="R290" s="209"/>
      <c r="S290" s="209"/>
      <c r="T290" s="209"/>
      <c r="U290" s="209"/>
      <c r="V290" s="209"/>
      <c r="W290" s="209"/>
    </row>
    <row r="291" spans="1:23" ht="11.25" hidden="1" customHeight="1" x14ac:dyDescent="0.25">
      <c r="A291" s="1169">
        <f t="shared" si="40"/>
        <v>0</v>
      </c>
      <c r="B291" s="1046"/>
      <c r="C291" s="1053"/>
      <c r="D291" s="1053"/>
      <c r="E291" s="1054"/>
      <c r="F291" s="1055"/>
      <c r="G291" s="1053"/>
      <c r="H291" s="1056"/>
      <c r="I291" s="1053"/>
      <c r="J291" s="1054"/>
      <c r="K291" s="1054"/>
      <c r="L291" s="208"/>
      <c r="M291" s="209"/>
      <c r="N291" s="209"/>
      <c r="O291" s="209"/>
      <c r="P291" s="209"/>
      <c r="Q291" s="209"/>
      <c r="R291" s="209"/>
      <c r="S291" s="209"/>
      <c r="T291" s="209"/>
      <c r="U291" s="209"/>
      <c r="V291" s="209"/>
      <c r="W291" s="209"/>
    </row>
    <row r="292" spans="1:23" ht="11.25" hidden="1" customHeight="1" x14ac:dyDescent="0.25">
      <c r="A292" s="1169">
        <f t="shared" si="40"/>
        <v>0</v>
      </c>
      <c r="B292" s="1046"/>
      <c r="C292" s="1053"/>
      <c r="D292" s="1053"/>
      <c r="E292" s="1054"/>
      <c r="F292" s="1055"/>
      <c r="G292" s="1053"/>
      <c r="H292" s="1056"/>
      <c r="I292" s="1053"/>
      <c r="J292" s="1054"/>
      <c r="K292" s="1054"/>
      <c r="L292" s="208"/>
      <c r="M292" s="209"/>
      <c r="N292" s="209"/>
      <c r="O292" s="209"/>
      <c r="P292" s="209"/>
      <c r="Q292" s="209"/>
      <c r="R292" s="209"/>
      <c r="S292" s="209"/>
      <c r="T292" s="209"/>
      <c r="U292" s="209"/>
      <c r="V292" s="209"/>
      <c r="W292" s="209"/>
    </row>
    <row r="293" spans="1:23" ht="11.25" hidden="1" customHeight="1" x14ac:dyDescent="0.25">
      <c r="A293" s="1169">
        <f t="shared" si="40"/>
        <v>0</v>
      </c>
      <c r="B293" s="1046"/>
      <c r="C293" s="1053"/>
      <c r="D293" s="1053"/>
      <c r="E293" s="1054"/>
      <c r="F293" s="1055"/>
      <c r="G293" s="1053"/>
      <c r="H293" s="1056"/>
      <c r="I293" s="1053"/>
      <c r="J293" s="1054"/>
      <c r="K293" s="1054"/>
      <c r="L293" s="208"/>
      <c r="M293" s="209"/>
      <c r="N293" s="209"/>
      <c r="O293" s="209"/>
      <c r="P293" s="209"/>
      <c r="Q293" s="209"/>
      <c r="R293" s="209"/>
      <c r="S293" s="209"/>
      <c r="T293" s="209"/>
      <c r="U293" s="209"/>
      <c r="V293" s="209"/>
      <c r="W293" s="209"/>
    </row>
    <row r="294" spans="1:23" ht="15" hidden="1" customHeight="1" x14ac:dyDescent="0.25">
      <c r="A294" s="1168" t="str">
        <f t="shared" si="40"/>
        <v>Vote 12 - [NAME OF VOTE 12]</v>
      </c>
      <c r="B294" s="1046"/>
      <c r="C294" s="976">
        <f t="shared" ref="C294:K294" si="41">SUM(C295:C304)</f>
        <v>0</v>
      </c>
      <c r="D294" s="976">
        <f t="shared" si="41"/>
        <v>0</v>
      </c>
      <c r="E294" s="977">
        <f t="shared" si="41"/>
        <v>0</v>
      </c>
      <c r="F294" s="978">
        <f t="shared" si="41"/>
        <v>0</v>
      </c>
      <c r="G294" s="976">
        <f t="shared" si="41"/>
        <v>0</v>
      </c>
      <c r="H294" s="979">
        <f t="shared" si="41"/>
        <v>0</v>
      </c>
      <c r="I294" s="976">
        <f t="shared" si="41"/>
        <v>0</v>
      </c>
      <c r="J294" s="977">
        <f t="shared" si="41"/>
        <v>0</v>
      </c>
      <c r="K294" s="977">
        <f t="shared" si="41"/>
        <v>0</v>
      </c>
      <c r="L294" s="208"/>
      <c r="M294" s="209"/>
      <c r="N294" s="209"/>
      <c r="O294" s="209"/>
      <c r="P294" s="209"/>
      <c r="Q294" s="209"/>
      <c r="R294" s="209"/>
      <c r="S294" s="209"/>
      <c r="T294" s="209"/>
      <c r="U294" s="209"/>
      <c r="V294" s="209"/>
      <c r="W294" s="209"/>
    </row>
    <row r="295" spans="1:23" ht="11.25" hidden="1" customHeight="1" x14ac:dyDescent="0.25">
      <c r="A295" s="1169" t="str">
        <f t="shared" si="40"/>
        <v>12.1 - [Name of sub-vote]</v>
      </c>
      <c r="B295" s="1046"/>
      <c r="C295" s="1053"/>
      <c r="D295" s="1053"/>
      <c r="E295" s="1054"/>
      <c r="F295" s="1055"/>
      <c r="G295" s="1053"/>
      <c r="H295" s="1056"/>
      <c r="I295" s="1053"/>
      <c r="J295" s="1054"/>
      <c r="K295" s="1054"/>
      <c r="L295" s="208"/>
      <c r="M295" s="209"/>
      <c r="N295" s="209"/>
      <c r="O295" s="209"/>
      <c r="P295" s="209"/>
      <c r="Q295" s="209"/>
      <c r="R295" s="209"/>
      <c r="S295" s="209"/>
      <c r="T295" s="209"/>
      <c r="U295" s="209"/>
      <c r="V295" s="209"/>
      <c r="W295" s="209"/>
    </row>
    <row r="296" spans="1:23" ht="11.25" hidden="1" customHeight="1" x14ac:dyDescent="0.25">
      <c r="A296" s="1169">
        <f t="shared" si="40"/>
        <v>0</v>
      </c>
      <c r="B296" s="1046"/>
      <c r="C296" s="1053"/>
      <c r="D296" s="1053"/>
      <c r="E296" s="1054"/>
      <c r="F296" s="1055"/>
      <c r="G296" s="1053"/>
      <c r="H296" s="1056"/>
      <c r="I296" s="1053"/>
      <c r="J296" s="1054"/>
      <c r="K296" s="1054"/>
      <c r="L296" s="208"/>
      <c r="M296" s="209"/>
      <c r="N296" s="209"/>
      <c r="O296" s="209"/>
      <c r="P296" s="209"/>
      <c r="Q296" s="209"/>
      <c r="R296" s="209"/>
      <c r="S296" s="209"/>
      <c r="T296" s="209"/>
      <c r="U296" s="209"/>
      <c r="V296" s="209"/>
      <c r="W296" s="209"/>
    </row>
    <row r="297" spans="1:23" ht="11.25" hidden="1" customHeight="1" x14ac:dyDescent="0.25">
      <c r="A297" s="1169">
        <f t="shared" si="40"/>
        <v>0</v>
      </c>
      <c r="B297" s="1046"/>
      <c r="C297" s="1053"/>
      <c r="D297" s="1053"/>
      <c r="E297" s="1054"/>
      <c r="F297" s="1055"/>
      <c r="G297" s="1053"/>
      <c r="H297" s="1056"/>
      <c r="I297" s="1053"/>
      <c r="J297" s="1054"/>
      <c r="K297" s="1054"/>
      <c r="L297" s="208"/>
      <c r="M297" s="209"/>
      <c r="N297" s="209"/>
      <c r="O297" s="209"/>
      <c r="P297" s="209"/>
      <c r="Q297" s="209"/>
      <c r="R297" s="209"/>
      <c r="S297" s="209"/>
      <c r="T297" s="209"/>
      <c r="U297" s="209"/>
      <c r="V297" s="209"/>
      <c r="W297" s="209"/>
    </row>
    <row r="298" spans="1:23" ht="11.25" hidden="1" customHeight="1" x14ac:dyDescent="0.25">
      <c r="A298" s="1169">
        <f t="shared" si="40"/>
        <v>0</v>
      </c>
      <c r="B298" s="1046"/>
      <c r="C298" s="1053"/>
      <c r="D298" s="1053"/>
      <c r="E298" s="1054"/>
      <c r="F298" s="1055"/>
      <c r="G298" s="1053"/>
      <c r="H298" s="1056"/>
      <c r="I298" s="1053"/>
      <c r="J298" s="1054"/>
      <c r="K298" s="1054"/>
      <c r="L298" s="208"/>
      <c r="M298" s="209"/>
      <c r="N298" s="209"/>
      <c r="O298" s="209"/>
      <c r="P298" s="209"/>
      <c r="Q298" s="209"/>
      <c r="R298" s="209"/>
      <c r="S298" s="209"/>
      <c r="T298" s="209"/>
      <c r="U298" s="209"/>
      <c r="V298" s="209"/>
      <c r="W298" s="209"/>
    </row>
    <row r="299" spans="1:23" ht="11.25" hidden="1" customHeight="1" x14ac:dyDescent="0.25">
      <c r="A299" s="1169">
        <f t="shared" si="40"/>
        <v>0</v>
      </c>
      <c r="B299" s="1046"/>
      <c r="C299" s="1053"/>
      <c r="D299" s="1053"/>
      <c r="E299" s="1054"/>
      <c r="F299" s="1055"/>
      <c r="G299" s="1053"/>
      <c r="H299" s="1056"/>
      <c r="I299" s="1053"/>
      <c r="J299" s="1054"/>
      <c r="K299" s="1054"/>
      <c r="L299" s="208"/>
      <c r="M299" s="209"/>
      <c r="N299" s="209"/>
      <c r="O299" s="209"/>
      <c r="P299" s="209"/>
      <c r="Q299" s="209"/>
      <c r="R299" s="209"/>
      <c r="S299" s="209"/>
      <c r="T299" s="209"/>
      <c r="U299" s="209"/>
      <c r="V299" s="209"/>
      <c r="W299" s="209"/>
    </row>
    <row r="300" spans="1:23" ht="11.25" hidden="1" customHeight="1" x14ac:dyDescent="0.25">
      <c r="A300" s="1169">
        <f t="shared" si="40"/>
        <v>0</v>
      </c>
      <c r="B300" s="1046"/>
      <c r="C300" s="1053"/>
      <c r="D300" s="1053"/>
      <c r="E300" s="1054"/>
      <c r="F300" s="1055"/>
      <c r="G300" s="1053"/>
      <c r="H300" s="1056"/>
      <c r="I300" s="1053"/>
      <c r="J300" s="1054"/>
      <c r="K300" s="1054"/>
      <c r="L300" s="208"/>
      <c r="M300" s="209"/>
      <c r="N300" s="209"/>
      <c r="O300" s="209"/>
      <c r="P300" s="209"/>
      <c r="Q300" s="209"/>
      <c r="R300" s="209"/>
      <c r="S300" s="209"/>
      <c r="T300" s="209"/>
      <c r="U300" s="209"/>
      <c r="V300" s="209"/>
      <c r="W300" s="209"/>
    </row>
    <row r="301" spans="1:23" ht="11.25" hidden="1" customHeight="1" x14ac:dyDescent="0.25">
      <c r="A301" s="1169">
        <f t="shared" si="40"/>
        <v>0</v>
      </c>
      <c r="B301" s="1046"/>
      <c r="C301" s="1053"/>
      <c r="D301" s="1053"/>
      <c r="E301" s="1054"/>
      <c r="F301" s="1055"/>
      <c r="G301" s="1053"/>
      <c r="H301" s="1056"/>
      <c r="I301" s="1053"/>
      <c r="J301" s="1054"/>
      <c r="K301" s="1054"/>
      <c r="L301" s="208"/>
      <c r="M301" s="209"/>
      <c r="N301" s="209"/>
      <c r="O301" s="209"/>
      <c r="P301" s="209"/>
      <c r="Q301" s="209"/>
      <c r="R301" s="209"/>
      <c r="S301" s="209"/>
      <c r="T301" s="209"/>
      <c r="U301" s="209"/>
      <c r="V301" s="209"/>
      <c r="W301" s="209"/>
    </row>
    <row r="302" spans="1:23" ht="11.25" hidden="1" customHeight="1" x14ac:dyDescent="0.25">
      <c r="A302" s="1169">
        <f t="shared" si="40"/>
        <v>0</v>
      </c>
      <c r="B302" s="1046"/>
      <c r="C302" s="1053"/>
      <c r="D302" s="1053"/>
      <c r="E302" s="1054"/>
      <c r="F302" s="1055"/>
      <c r="G302" s="1053"/>
      <c r="H302" s="1056"/>
      <c r="I302" s="1053"/>
      <c r="J302" s="1054"/>
      <c r="K302" s="1054"/>
      <c r="L302" s="208"/>
      <c r="M302" s="209"/>
      <c r="N302" s="209"/>
      <c r="O302" s="209"/>
      <c r="P302" s="209"/>
      <c r="Q302" s="209"/>
      <c r="R302" s="209"/>
      <c r="S302" s="209"/>
      <c r="T302" s="209"/>
      <c r="U302" s="209"/>
      <c r="V302" s="209"/>
      <c r="W302" s="209"/>
    </row>
    <row r="303" spans="1:23" ht="11.25" hidden="1" customHeight="1" x14ac:dyDescent="0.25">
      <c r="A303" s="1169">
        <f t="shared" si="40"/>
        <v>0</v>
      </c>
      <c r="B303" s="1046"/>
      <c r="C303" s="1053"/>
      <c r="D303" s="1053"/>
      <c r="E303" s="1054"/>
      <c r="F303" s="1055"/>
      <c r="G303" s="1053"/>
      <c r="H303" s="1056"/>
      <c r="I303" s="1053"/>
      <c r="J303" s="1054"/>
      <c r="K303" s="1054"/>
      <c r="L303" s="208"/>
      <c r="M303" s="209"/>
      <c r="N303" s="209"/>
      <c r="O303" s="209"/>
      <c r="P303" s="209"/>
      <c r="Q303" s="209"/>
      <c r="R303" s="209"/>
      <c r="S303" s="209"/>
      <c r="T303" s="209"/>
      <c r="U303" s="209"/>
      <c r="V303" s="209"/>
      <c r="W303" s="209"/>
    </row>
    <row r="304" spans="1:23" ht="11.25" hidden="1" customHeight="1" x14ac:dyDescent="0.25">
      <c r="A304" s="1169">
        <f t="shared" si="40"/>
        <v>0</v>
      </c>
      <c r="B304" s="1046"/>
      <c r="C304" s="1053"/>
      <c r="D304" s="1053"/>
      <c r="E304" s="1054"/>
      <c r="F304" s="1055"/>
      <c r="G304" s="1053"/>
      <c r="H304" s="1056"/>
      <c r="I304" s="1053"/>
      <c r="J304" s="1054"/>
      <c r="K304" s="1054"/>
      <c r="L304" s="208"/>
      <c r="M304" s="209"/>
      <c r="N304" s="209"/>
      <c r="O304" s="209"/>
      <c r="P304" s="209"/>
      <c r="Q304" s="209"/>
      <c r="R304" s="209"/>
      <c r="S304" s="209"/>
      <c r="T304" s="209"/>
      <c r="U304" s="209"/>
      <c r="V304" s="209"/>
      <c r="W304" s="209"/>
    </row>
    <row r="305" spans="1:23" ht="15" hidden="1" customHeight="1" x14ac:dyDescent="0.25">
      <c r="A305" s="1168" t="str">
        <f t="shared" si="40"/>
        <v>Vote 13 - [NAME OF VOTE 13]</v>
      </c>
      <c r="B305" s="1046"/>
      <c r="C305" s="976">
        <f t="shared" ref="C305:K305" si="42">SUM(C306:C315)</f>
        <v>0</v>
      </c>
      <c r="D305" s="976">
        <f t="shared" si="42"/>
        <v>0</v>
      </c>
      <c r="E305" s="977">
        <f t="shared" si="42"/>
        <v>0</v>
      </c>
      <c r="F305" s="978">
        <f t="shared" si="42"/>
        <v>0</v>
      </c>
      <c r="G305" s="976">
        <f t="shared" si="42"/>
        <v>0</v>
      </c>
      <c r="H305" s="979">
        <f t="shared" si="42"/>
        <v>0</v>
      </c>
      <c r="I305" s="976">
        <f t="shared" si="42"/>
        <v>0</v>
      </c>
      <c r="J305" s="977">
        <f t="shared" si="42"/>
        <v>0</v>
      </c>
      <c r="K305" s="977">
        <f t="shared" si="42"/>
        <v>0</v>
      </c>
      <c r="L305" s="208"/>
      <c r="M305" s="209"/>
      <c r="N305" s="209"/>
      <c r="O305" s="209"/>
      <c r="P305" s="209"/>
      <c r="Q305" s="209"/>
      <c r="R305" s="209"/>
      <c r="S305" s="209"/>
      <c r="T305" s="209"/>
      <c r="U305" s="209"/>
      <c r="V305" s="209"/>
      <c r="W305" s="209"/>
    </row>
    <row r="306" spans="1:23" ht="11.25" hidden="1" customHeight="1" x14ac:dyDescent="0.25">
      <c r="A306" s="1169" t="str">
        <f t="shared" si="40"/>
        <v>13.1 - [Name of sub-vote]</v>
      </c>
      <c r="B306" s="1046"/>
      <c r="C306" s="1053"/>
      <c r="D306" s="1053"/>
      <c r="E306" s="1054"/>
      <c r="F306" s="1055"/>
      <c r="G306" s="1053"/>
      <c r="H306" s="1056"/>
      <c r="I306" s="1053"/>
      <c r="J306" s="1054"/>
      <c r="K306" s="1054"/>
      <c r="L306" s="208"/>
      <c r="M306" s="209"/>
      <c r="N306" s="209"/>
      <c r="O306" s="209"/>
      <c r="P306" s="209"/>
      <c r="Q306" s="209"/>
      <c r="R306" s="209"/>
      <c r="S306" s="209"/>
      <c r="T306" s="209"/>
      <c r="U306" s="209"/>
      <c r="V306" s="209"/>
      <c r="W306" s="209"/>
    </row>
    <row r="307" spans="1:23" ht="11.25" hidden="1" customHeight="1" x14ac:dyDescent="0.25">
      <c r="A307" s="1169">
        <f t="shared" si="40"/>
        <v>0</v>
      </c>
      <c r="B307" s="1046"/>
      <c r="C307" s="1053"/>
      <c r="D307" s="1053"/>
      <c r="E307" s="1054"/>
      <c r="F307" s="1055"/>
      <c r="G307" s="1053"/>
      <c r="H307" s="1056"/>
      <c r="I307" s="1053"/>
      <c r="J307" s="1054"/>
      <c r="K307" s="1054"/>
      <c r="L307" s="208"/>
      <c r="M307" s="209"/>
      <c r="N307" s="209"/>
      <c r="O307" s="209"/>
      <c r="P307" s="209"/>
      <c r="Q307" s="209"/>
      <c r="R307" s="209"/>
      <c r="S307" s="209"/>
      <c r="T307" s="209"/>
      <c r="U307" s="209"/>
      <c r="V307" s="209"/>
      <c r="W307" s="209"/>
    </row>
    <row r="308" spans="1:23" ht="11.25" hidden="1" customHeight="1" x14ac:dyDescent="0.25">
      <c r="A308" s="1169">
        <f t="shared" si="40"/>
        <v>0</v>
      </c>
      <c r="B308" s="1046"/>
      <c r="C308" s="1053"/>
      <c r="D308" s="1053"/>
      <c r="E308" s="1054"/>
      <c r="F308" s="1055"/>
      <c r="G308" s="1053"/>
      <c r="H308" s="1056"/>
      <c r="I308" s="1053"/>
      <c r="J308" s="1054"/>
      <c r="K308" s="1054"/>
      <c r="L308" s="208"/>
      <c r="M308" s="209"/>
      <c r="N308" s="209"/>
      <c r="O308" s="209"/>
      <c r="P308" s="209"/>
      <c r="Q308" s="209"/>
      <c r="R308" s="209"/>
      <c r="S308" s="209"/>
      <c r="T308" s="209"/>
      <c r="U308" s="209"/>
      <c r="V308" s="209"/>
      <c r="W308" s="209"/>
    </row>
    <row r="309" spans="1:23" ht="11.25" hidden="1" customHeight="1" x14ac:dyDescent="0.25">
      <c r="A309" s="1169">
        <f t="shared" si="40"/>
        <v>0</v>
      </c>
      <c r="B309" s="1046"/>
      <c r="C309" s="1053"/>
      <c r="D309" s="1053"/>
      <c r="E309" s="1054"/>
      <c r="F309" s="1055"/>
      <c r="G309" s="1053"/>
      <c r="H309" s="1056"/>
      <c r="I309" s="1053"/>
      <c r="J309" s="1054"/>
      <c r="K309" s="1054"/>
      <c r="L309" s="208"/>
      <c r="M309" s="209"/>
      <c r="N309" s="209"/>
      <c r="O309" s="209"/>
      <c r="P309" s="209"/>
      <c r="Q309" s="209"/>
      <c r="R309" s="209"/>
      <c r="S309" s="209"/>
      <c r="T309" s="209"/>
      <c r="U309" s="209"/>
      <c r="V309" s="209"/>
      <c r="W309" s="209"/>
    </row>
    <row r="310" spans="1:23" ht="11.25" hidden="1" customHeight="1" x14ac:dyDescent="0.25">
      <c r="A310" s="1169">
        <f t="shared" si="40"/>
        <v>0</v>
      </c>
      <c r="B310" s="1046"/>
      <c r="C310" s="1053"/>
      <c r="D310" s="1053"/>
      <c r="E310" s="1054"/>
      <c r="F310" s="1055"/>
      <c r="G310" s="1053"/>
      <c r="H310" s="1056"/>
      <c r="I310" s="1053"/>
      <c r="J310" s="1054"/>
      <c r="K310" s="1054"/>
      <c r="L310" s="208"/>
      <c r="M310" s="209"/>
      <c r="N310" s="209"/>
      <c r="O310" s="209"/>
      <c r="P310" s="209"/>
      <c r="Q310" s="209"/>
      <c r="R310" s="209"/>
      <c r="S310" s="209"/>
      <c r="T310" s="209"/>
      <c r="U310" s="209"/>
      <c r="V310" s="209"/>
      <c r="W310" s="209"/>
    </row>
    <row r="311" spans="1:23" ht="11.25" hidden="1" customHeight="1" x14ac:dyDescent="0.25">
      <c r="A311" s="1169">
        <f t="shared" si="40"/>
        <v>0</v>
      </c>
      <c r="B311" s="1046"/>
      <c r="C311" s="1053"/>
      <c r="D311" s="1053"/>
      <c r="E311" s="1054"/>
      <c r="F311" s="1055"/>
      <c r="G311" s="1053"/>
      <c r="H311" s="1056"/>
      <c r="I311" s="1053"/>
      <c r="J311" s="1054"/>
      <c r="K311" s="1054"/>
      <c r="L311" s="208"/>
      <c r="M311" s="209"/>
      <c r="N311" s="209"/>
      <c r="O311" s="209"/>
      <c r="P311" s="209"/>
      <c r="Q311" s="209"/>
      <c r="R311" s="209"/>
      <c r="S311" s="209"/>
      <c r="T311" s="209"/>
      <c r="U311" s="209"/>
      <c r="V311" s="209"/>
      <c r="W311" s="209"/>
    </row>
    <row r="312" spans="1:23" ht="11.25" hidden="1" customHeight="1" x14ac:dyDescent="0.25">
      <c r="A312" s="1169">
        <f t="shared" si="40"/>
        <v>0</v>
      </c>
      <c r="B312" s="1046"/>
      <c r="C312" s="1053"/>
      <c r="D312" s="1053"/>
      <c r="E312" s="1054"/>
      <c r="F312" s="1055"/>
      <c r="G312" s="1053"/>
      <c r="H312" s="1056"/>
      <c r="I312" s="1053"/>
      <c r="J312" s="1054"/>
      <c r="K312" s="1054"/>
      <c r="L312" s="208"/>
      <c r="M312" s="209"/>
      <c r="N312" s="209"/>
      <c r="O312" s="209"/>
      <c r="P312" s="209"/>
      <c r="Q312" s="209"/>
      <c r="R312" s="209"/>
      <c r="S312" s="209"/>
      <c r="T312" s="209"/>
      <c r="U312" s="209"/>
      <c r="V312" s="209"/>
      <c r="W312" s="209"/>
    </row>
    <row r="313" spans="1:23" ht="11.25" hidden="1" customHeight="1" x14ac:dyDescent="0.25">
      <c r="A313" s="1169">
        <f t="shared" si="40"/>
        <v>0</v>
      </c>
      <c r="B313" s="1046"/>
      <c r="C313" s="1053"/>
      <c r="D313" s="1053"/>
      <c r="E313" s="1054"/>
      <c r="F313" s="1055"/>
      <c r="G313" s="1053"/>
      <c r="H313" s="1056"/>
      <c r="I313" s="1053"/>
      <c r="J313" s="1054"/>
      <c r="K313" s="1054"/>
      <c r="L313" s="208"/>
      <c r="M313" s="209"/>
      <c r="N313" s="209"/>
      <c r="O313" s="209"/>
      <c r="P313" s="209"/>
      <c r="Q313" s="209"/>
      <c r="R313" s="209"/>
      <c r="S313" s="209"/>
      <c r="T313" s="209"/>
      <c r="U313" s="209"/>
      <c r="V313" s="209"/>
      <c r="W313" s="209"/>
    </row>
    <row r="314" spans="1:23" ht="11.25" hidden="1" customHeight="1" x14ac:dyDescent="0.25">
      <c r="A314" s="1169">
        <f t="shared" si="40"/>
        <v>0</v>
      </c>
      <c r="B314" s="1046"/>
      <c r="C314" s="1053"/>
      <c r="D314" s="1053"/>
      <c r="E314" s="1054"/>
      <c r="F314" s="1055"/>
      <c r="G314" s="1053"/>
      <c r="H314" s="1056"/>
      <c r="I314" s="1053"/>
      <c r="J314" s="1054"/>
      <c r="K314" s="1054"/>
      <c r="L314" s="208"/>
      <c r="M314" s="209"/>
      <c r="N314" s="209"/>
      <c r="O314" s="209"/>
      <c r="P314" s="209"/>
      <c r="Q314" s="209"/>
      <c r="R314" s="209"/>
      <c r="S314" s="209"/>
      <c r="T314" s="209"/>
      <c r="U314" s="209"/>
      <c r="V314" s="209"/>
      <c r="W314" s="209"/>
    </row>
    <row r="315" spans="1:23" ht="11.25" hidden="1" customHeight="1" x14ac:dyDescent="0.25">
      <c r="A315" s="1169">
        <f t="shared" si="40"/>
        <v>0</v>
      </c>
      <c r="B315" s="1046"/>
      <c r="C315" s="1053"/>
      <c r="D315" s="1053"/>
      <c r="E315" s="1054"/>
      <c r="F315" s="1055"/>
      <c r="G315" s="1053"/>
      <c r="H315" s="1056"/>
      <c r="I315" s="1053"/>
      <c r="J315" s="1054"/>
      <c r="K315" s="1054"/>
      <c r="L315" s="208"/>
      <c r="M315" s="209"/>
      <c r="N315" s="209"/>
      <c r="O315" s="209"/>
      <c r="P315" s="209"/>
      <c r="Q315" s="209"/>
      <c r="R315" s="209"/>
      <c r="S315" s="209"/>
      <c r="T315" s="209"/>
      <c r="U315" s="209"/>
      <c r="V315" s="209"/>
      <c r="W315" s="209"/>
    </row>
    <row r="316" spans="1:23" ht="15" hidden="1" customHeight="1" x14ac:dyDescent="0.25">
      <c r="A316" s="1168" t="str">
        <f t="shared" si="40"/>
        <v>Vote 14 - [NAME OF VOTE 14]</v>
      </c>
      <c r="B316" s="1046"/>
      <c r="C316" s="976">
        <f t="shared" ref="C316:K316" si="43">SUM(C317:C326)</f>
        <v>0</v>
      </c>
      <c r="D316" s="976">
        <f t="shared" si="43"/>
        <v>0</v>
      </c>
      <c r="E316" s="977">
        <f t="shared" si="43"/>
        <v>0</v>
      </c>
      <c r="F316" s="978">
        <f t="shared" si="43"/>
        <v>0</v>
      </c>
      <c r="G316" s="976">
        <f t="shared" si="43"/>
        <v>0</v>
      </c>
      <c r="H316" s="979">
        <f t="shared" si="43"/>
        <v>0</v>
      </c>
      <c r="I316" s="976">
        <f t="shared" si="43"/>
        <v>0</v>
      </c>
      <c r="J316" s="977">
        <f t="shared" si="43"/>
        <v>0</v>
      </c>
      <c r="K316" s="977">
        <f t="shared" si="43"/>
        <v>0</v>
      </c>
      <c r="L316" s="208"/>
      <c r="M316" s="209"/>
      <c r="N316" s="209"/>
      <c r="O316" s="209"/>
      <c r="P316" s="209"/>
      <c r="Q316" s="209"/>
      <c r="R316" s="209"/>
      <c r="S316" s="209"/>
      <c r="T316" s="209"/>
      <c r="U316" s="209"/>
      <c r="V316" s="209"/>
      <c r="W316" s="209"/>
    </row>
    <row r="317" spans="1:23" ht="11.25" hidden="1" customHeight="1" x14ac:dyDescent="0.25">
      <c r="A317" s="1169" t="str">
        <f t="shared" si="40"/>
        <v>14.1 - [Name of sub-vote]</v>
      </c>
      <c r="B317" s="1046"/>
      <c r="C317" s="1053"/>
      <c r="D317" s="1053"/>
      <c r="E317" s="1054"/>
      <c r="F317" s="1055"/>
      <c r="G317" s="1053"/>
      <c r="H317" s="1056"/>
      <c r="I317" s="1053"/>
      <c r="J317" s="1054"/>
      <c r="K317" s="1054"/>
      <c r="L317" s="208"/>
      <c r="M317" s="209"/>
      <c r="N317" s="209"/>
      <c r="O317" s="209"/>
      <c r="P317" s="209"/>
      <c r="Q317" s="209"/>
      <c r="R317" s="209"/>
      <c r="S317" s="209"/>
      <c r="T317" s="209"/>
      <c r="U317" s="209"/>
      <c r="V317" s="209"/>
      <c r="W317" s="209"/>
    </row>
    <row r="318" spans="1:23" ht="11.25" hidden="1" customHeight="1" x14ac:dyDescent="0.25">
      <c r="A318" s="1169">
        <f t="shared" si="40"/>
        <v>0</v>
      </c>
      <c r="B318" s="1046"/>
      <c r="C318" s="1053"/>
      <c r="D318" s="1053"/>
      <c r="E318" s="1054"/>
      <c r="F318" s="1055"/>
      <c r="G318" s="1053"/>
      <c r="H318" s="1056"/>
      <c r="I318" s="1053"/>
      <c r="J318" s="1054"/>
      <c r="K318" s="1054"/>
      <c r="L318" s="208"/>
      <c r="M318" s="209"/>
      <c r="N318" s="209"/>
      <c r="O318" s="209"/>
      <c r="P318" s="209"/>
      <c r="Q318" s="209"/>
      <c r="R318" s="209"/>
      <c r="S318" s="209"/>
      <c r="T318" s="209"/>
      <c r="U318" s="209"/>
      <c r="V318" s="209"/>
      <c r="W318" s="209"/>
    </row>
    <row r="319" spans="1:23" ht="11.25" hidden="1" customHeight="1" x14ac:dyDescent="0.25">
      <c r="A319" s="1169">
        <f t="shared" si="40"/>
        <v>0</v>
      </c>
      <c r="B319" s="1046"/>
      <c r="C319" s="1053"/>
      <c r="D319" s="1053"/>
      <c r="E319" s="1054"/>
      <c r="F319" s="1055"/>
      <c r="G319" s="1053"/>
      <c r="H319" s="1056"/>
      <c r="I319" s="1053"/>
      <c r="J319" s="1054"/>
      <c r="K319" s="1054"/>
      <c r="L319" s="208"/>
      <c r="M319" s="209"/>
      <c r="N319" s="209"/>
      <c r="O319" s="209"/>
      <c r="P319" s="209"/>
      <c r="Q319" s="209"/>
      <c r="R319" s="209"/>
      <c r="S319" s="209"/>
      <c r="T319" s="209"/>
      <c r="U319" s="209"/>
      <c r="V319" s="209"/>
      <c r="W319" s="209"/>
    </row>
    <row r="320" spans="1:23" ht="11.25" hidden="1" customHeight="1" x14ac:dyDescent="0.25">
      <c r="A320" s="1169">
        <f t="shared" si="40"/>
        <v>0</v>
      </c>
      <c r="B320" s="1046"/>
      <c r="C320" s="1053"/>
      <c r="D320" s="1053"/>
      <c r="E320" s="1054"/>
      <c r="F320" s="1055"/>
      <c r="G320" s="1053"/>
      <c r="H320" s="1056"/>
      <c r="I320" s="1053"/>
      <c r="J320" s="1054"/>
      <c r="K320" s="1054"/>
      <c r="L320" s="208"/>
      <c r="M320" s="209"/>
      <c r="N320" s="209"/>
      <c r="O320" s="209"/>
      <c r="P320" s="209"/>
      <c r="Q320" s="209"/>
      <c r="R320" s="209"/>
      <c r="S320" s="209"/>
      <c r="T320" s="209"/>
      <c r="U320" s="209"/>
      <c r="V320" s="209"/>
      <c r="W320" s="209"/>
    </row>
    <row r="321" spans="1:23" ht="11.25" hidden="1" customHeight="1" x14ac:dyDescent="0.25">
      <c r="A321" s="1169">
        <f t="shared" si="40"/>
        <v>0</v>
      </c>
      <c r="B321" s="1046"/>
      <c r="C321" s="1053"/>
      <c r="D321" s="1053"/>
      <c r="E321" s="1054"/>
      <c r="F321" s="1055"/>
      <c r="G321" s="1053"/>
      <c r="H321" s="1056"/>
      <c r="I321" s="1053"/>
      <c r="J321" s="1054"/>
      <c r="K321" s="1054"/>
      <c r="L321" s="208"/>
      <c r="M321" s="209"/>
      <c r="N321" s="209"/>
      <c r="O321" s="209"/>
      <c r="P321" s="209"/>
      <c r="Q321" s="209"/>
      <c r="R321" s="209"/>
      <c r="S321" s="209"/>
      <c r="T321" s="209"/>
      <c r="U321" s="209"/>
      <c r="V321" s="209"/>
      <c r="W321" s="209"/>
    </row>
    <row r="322" spans="1:23" ht="11.25" hidden="1" customHeight="1" x14ac:dyDescent="0.25">
      <c r="A322" s="1169">
        <f t="shared" si="40"/>
        <v>0</v>
      </c>
      <c r="B322" s="1046"/>
      <c r="C322" s="1053"/>
      <c r="D322" s="1053"/>
      <c r="E322" s="1054"/>
      <c r="F322" s="1055"/>
      <c r="G322" s="1053"/>
      <c r="H322" s="1056"/>
      <c r="I322" s="1053"/>
      <c r="J322" s="1054"/>
      <c r="K322" s="1054"/>
      <c r="L322" s="208"/>
      <c r="M322" s="209"/>
      <c r="N322" s="209"/>
      <c r="O322" s="209"/>
      <c r="P322" s="209"/>
      <c r="Q322" s="209"/>
      <c r="R322" s="209"/>
      <c r="S322" s="209"/>
      <c r="T322" s="209"/>
      <c r="U322" s="209"/>
      <c r="V322" s="209"/>
      <c r="W322" s="209"/>
    </row>
    <row r="323" spans="1:23" ht="11.25" hidden="1" customHeight="1" x14ac:dyDescent="0.25">
      <c r="A323" s="1169">
        <f t="shared" si="40"/>
        <v>0</v>
      </c>
      <c r="B323" s="1046"/>
      <c r="C323" s="1053"/>
      <c r="D323" s="1053"/>
      <c r="E323" s="1054"/>
      <c r="F323" s="1055"/>
      <c r="G323" s="1053"/>
      <c r="H323" s="1056"/>
      <c r="I323" s="1053"/>
      <c r="J323" s="1054"/>
      <c r="K323" s="1054"/>
      <c r="L323" s="208"/>
      <c r="M323" s="209"/>
      <c r="N323" s="209"/>
      <c r="O323" s="209"/>
      <c r="P323" s="209"/>
      <c r="Q323" s="209"/>
      <c r="R323" s="209"/>
      <c r="S323" s="209"/>
      <c r="T323" s="209"/>
      <c r="U323" s="209"/>
      <c r="V323" s="209"/>
      <c r="W323" s="209"/>
    </row>
    <row r="324" spans="1:23" ht="11.25" hidden="1" customHeight="1" x14ac:dyDescent="0.25">
      <c r="A324" s="1169">
        <f t="shared" si="40"/>
        <v>0</v>
      </c>
      <c r="B324" s="1046"/>
      <c r="C324" s="1053"/>
      <c r="D324" s="1053"/>
      <c r="E324" s="1054"/>
      <c r="F324" s="1055"/>
      <c r="G324" s="1053"/>
      <c r="H324" s="1056"/>
      <c r="I324" s="1053"/>
      <c r="J324" s="1054"/>
      <c r="K324" s="1054"/>
      <c r="L324" s="208"/>
      <c r="M324" s="209"/>
      <c r="N324" s="209"/>
      <c r="O324" s="209"/>
      <c r="P324" s="209"/>
      <c r="Q324" s="209"/>
      <c r="R324" s="209"/>
      <c r="S324" s="209"/>
      <c r="T324" s="209"/>
      <c r="U324" s="209"/>
      <c r="V324" s="209"/>
      <c r="W324" s="209"/>
    </row>
    <row r="325" spans="1:23" ht="11.25" hidden="1" customHeight="1" x14ac:dyDescent="0.25">
      <c r="A325" s="1169">
        <f t="shared" si="40"/>
        <v>0</v>
      </c>
      <c r="B325" s="1046"/>
      <c r="C325" s="1053"/>
      <c r="D325" s="1053"/>
      <c r="E325" s="1054"/>
      <c r="F325" s="1055"/>
      <c r="G325" s="1053"/>
      <c r="H325" s="1056"/>
      <c r="I325" s="1053"/>
      <c r="J325" s="1054"/>
      <c r="K325" s="1054"/>
      <c r="L325" s="208"/>
      <c r="M325" s="209"/>
      <c r="N325" s="209"/>
      <c r="O325" s="209"/>
      <c r="P325" s="209"/>
      <c r="Q325" s="209"/>
      <c r="R325" s="209"/>
      <c r="S325" s="209"/>
      <c r="T325" s="209"/>
      <c r="U325" s="209"/>
      <c r="V325" s="209"/>
      <c r="W325" s="209"/>
    </row>
    <row r="326" spans="1:23" ht="11.25" hidden="1" customHeight="1" x14ac:dyDescent="0.25">
      <c r="A326" s="1169">
        <f t="shared" si="40"/>
        <v>0</v>
      </c>
      <c r="B326" s="1046"/>
      <c r="C326" s="1053"/>
      <c r="D326" s="1053"/>
      <c r="E326" s="1054"/>
      <c r="F326" s="1055"/>
      <c r="G326" s="1053"/>
      <c r="H326" s="1056"/>
      <c r="I326" s="1053"/>
      <c r="J326" s="1054"/>
      <c r="K326" s="1054"/>
      <c r="L326" s="208"/>
      <c r="M326" s="209"/>
      <c r="N326" s="209"/>
      <c r="O326" s="209"/>
      <c r="P326" s="209"/>
      <c r="Q326" s="209"/>
      <c r="R326" s="209"/>
      <c r="S326" s="209"/>
      <c r="T326" s="209"/>
      <c r="U326" s="209"/>
      <c r="V326" s="209"/>
      <c r="W326" s="209"/>
    </row>
    <row r="327" spans="1:23" ht="15" hidden="1" customHeight="1" x14ac:dyDescent="0.25">
      <c r="A327" s="1168" t="str">
        <f t="shared" si="40"/>
        <v>Vote 15 - [NAME OF VOTE 15]</v>
      </c>
      <c r="B327" s="1046"/>
      <c r="C327" s="976">
        <f t="shared" ref="C327:K327" si="44">SUM(C328:C337)</f>
        <v>0</v>
      </c>
      <c r="D327" s="976">
        <f t="shared" si="44"/>
        <v>0</v>
      </c>
      <c r="E327" s="977">
        <f t="shared" si="44"/>
        <v>0</v>
      </c>
      <c r="F327" s="978">
        <f t="shared" si="44"/>
        <v>0</v>
      </c>
      <c r="G327" s="976">
        <f t="shared" si="44"/>
        <v>0</v>
      </c>
      <c r="H327" s="979">
        <f t="shared" si="44"/>
        <v>0</v>
      </c>
      <c r="I327" s="976">
        <f t="shared" si="44"/>
        <v>0</v>
      </c>
      <c r="J327" s="977">
        <f t="shared" si="44"/>
        <v>0</v>
      </c>
      <c r="K327" s="977">
        <f t="shared" si="44"/>
        <v>0</v>
      </c>
      <c r="L327" s="208"/>
      <c r="M327" s="209"/>
      <c r="N327" s="209"/>
      <c r="O327" s="209"/>
      <c r="P327" s="209"/>
      <c r="Q327" s="209"/>
      <c r="R327" s="209"/>
      <c r="S327" s="209"/>
      <c r="T327" s="209"/>
      <c r="U327" s="209"/>
      <c r="V327" s="209"/>
      <c r="W327" s="209"/>
    </row>
    <row r="328" spans="1:23" ht="11.25" hidden="1" customHeight="1" x14ac:dyDescent="0.25">
      <c r="A328" s="1169" t="str">
        <f t="shared" si="40"/>
        <v>15.1 - [Name of sub-vote]</v>
      </c>
      <c r="B328" s="1046"/>
      <c r="C328" s="1053"/>
      <c r="D328" s="1053"/>
      <c r="E328" s="1054"/>
      <c r="F328" s="1055"/>
      <c r="G328" s="1053"/>
      <c r="H328" s="1056"/>
      <c r="I328" s="1053"/>
      <c r="J328" s="1054"/>
      <c r="K328" s="1054"/>
      <c r="L328" s="208"/>
      <c r="M328" s="209"/>
      <c r="N328" s="209"/>
      <c r="O328" s="209"/>
      <c r="P328" s="209"/>
      <c r="Q328" s="209"/>
      <c r="R328" s="209"/>
      <c r="S328" s="209"/>
      <c r="T328" s="209"/>
      <c r="U328" s="209"/>
      <c r="V328" s="209"/>
      <c r="W328" s="209"/>
    </row>
    <row r="329" spans="1:23" ht="11.25" hidden="1" customHeight="1" x14ac:dyDescent="0.25">
      <c r="A329" s="1169">
        <f t="shared" si="40"/>
        <v>0</v>
      </c>
      <c r="B329" s="1046"/>
      <c r="C329" s="1053"/>
      <c r="D329" s="1053"/>
      <c r="E329" s="1054"/>
      <c r="F329" s="1055"/>
      <c r="G329" s="1053"/>
      <c r="H329" s="1056"/>
      <c r="I329" s="1053"/>
      <c r="J329" s="1054"/>
      <c r="K329" s="1054"/>
      <c r="L329" s="208"/>
      <c r="M329" s="209"/>
      <c r="N329" s="209"/>
      <c r="O329" s="209"/>
      <c r="P329" s="209"/>
      <c r="Q329" s="209"/>
      <c r="R329" s="209"/>
      <c r="S329" s="209"/>
      <c r="T329" s="209"/>
      <c r="U329" s="209"/>
      <c r="V329" s="209"/>
      <c r="W329" s="209"/>
    </row>
    <row r="330" spans="1:23" ht="11.25" hidden="1" customHeight="1" x14ac:dyDescent="0.25">
      <c r="A330" s="1169">
        <f t="shared" si="40"/>
        <v>0</v>
      </c>
      <c r="B330" s="1046"/>
      <c r="C330" s="1053"/>
      <c r="D330" s="1053"/>
      <c r="E330" s="1054"/>
      <c r="F330" s="1055"/>
      <c r="G330" s="1053"/>
      <c r="H330" s="1056"/>
      <c r="I330" s="1053"/>
      <c r="J330" s="1054"/>
      <c r="K330" s="1054"/>
      <c r="L330" s="208"/>
      <c r="M330" s="209"/>
      <c r="N330" s="209"/>
      <c r="O330" s="209"/>
      <c r="P330" s="209"/>
      <c r="Q330" s="209"/>
      <c r="R330" s="209"/>
      <c r="S330" s="209"/>
      <c r="T330" s="209"/>
      <c r="U330" s="209"/>
      <c r="V330" s="209"/>
      <c r="W330" s="209"/>
    </row>
    <row r="331" spans="1:23" ht="11.25" hidden="1" customHeight="1" x14ac:dyDescent="0.25">
      <c r="A331" s="1169">
        <f t="shared" si="40"/>
        <v>0</v>
      </c>
      <c r="B331" s="1046"/>
      <c r="C331" s="1053"/>
      <c r="D331" s="1053"/>
      <c r="E331" s="1054"/>
      <c r="F331" s="1055"/>
      <c r="G331" s="1053"/>
      <c r="H331" s="1056"/>
      <c r="I331" s="1053"/>
      <c r="J331" s="1054"/>
      <c r="K331" s="1054"/>
      <c r="L331" s="208"/>
      <c r="M331" s="209"/>
      <c r="N331" s="209"/>
      <c r="O331" s="209"/>
      <c r="P331" s="209"/>
      <c r="Q331" s="209"/>
      <c r="R331" s="209"/>
      <c r="S331" s="209"/>
      <c r="T331" s="209"/>
      <c r="U331" s="209"/>
      <c r="V331" s="209"/>
      <c r="W331" s="209"/>
    </row>
    <row r="332" spans="1:23" ht="11.25" hidden="1" customHeight="1" x14ac:dyDescent="0.25">
      <c r="A332" s="1169">
        <f t="shared" si="40"/>
        <v>0</v>
      </c>
      <c r="B332" s="1046"/>
      <c r="C332" s="1053"/>
      <c r="D332" s="1053"/>
      <c r="E332" s="1054"/>
      <c r="F332" s="1055"/>
      <c r="G332" s="1053"/>
      <c r="H332" s="1056"/>
      <c r="I332" s="1053"/>
      <c r="J332" s="1054"/>
      <c r="K332" s="1054"/>
      <c r="L332" s="208"/>
      <c r="M332" s="209"/>
      <c r="N332" s="209"/>
      <c r="O332" s="209"/>
      <c r="P332" s="209"/>
      <c r="Q332" s="209"/>
      <c r="R332" s="209"/>
      <c r="S332" s="209"/>
      <c r="T332" s="209"/>
      <c r="U332" s="209"/>
      <c r="V332" s="209"/>
      <c r="W332" s="209"/>
    </row>
    <row r="333" spans="1:23" ht="11.25" hidden="1" customHeight="1" x14ac:dyDescent="0.25">
      <c r="A333" s="1169">
        <f t="shared" si="40"/>
        <v>0</v>
      </c>
      <c r="B333" s="1046"/>
      <c r="C333" s="1053"/>
      <c r="D333" s="1053"/>
      <c r="E333" s="1054"/>
      <c r="F333" s="1055"/>
      <c r="G333" s="1053"/>
      <c r="H333" s="1056"/>
      <c r="I333" s="1053"/>
      <c r="J333" s="1054"/>
      <c r="K333" s="1054"/>
      <c r="L333" s="208"/>
      <c r="M333" s="209"/>
      <c r="N333" s="209"/>
      <c r="O333" s="209"/>
      <c r="P333" s="209"/>
      <c r="Q333" s="209"/>
      <c r="R333" s="209"/>
      <c r="S333" s="209"/>
      <c r="T333" s="209"/>
      <c r="U333" s="209"/>
      <c r="V333" s="209"/>
      <c r="W333" s="209"/>
    </row>
    <row r="334" spans="1:23" ht="11.25" hidden="1" customHeight="1" x14ac:dyDescent="0.25">
      <c r="A334" s="1169">
        <f t="shared" si="40"/>
        <v>0</v>
      </c>
      <c r="B334" s="1046"/>
      <c r="C334" s="1053"/>
      <c r="D334" s="1053"/>
      <c r="E334" s="1054"/>
      <c r="F334" s="1055"/>
      <c r="G334" s="1053"/>
      <c r="H334" s="1056"/>
      <c r="I334" s="1053"/>
      <c r="J334" s="1054"/>
      <c r="K334" s="1054"/>
      <c r="L334" s="208"/>
      <c r="M334" s="209"/>
      <c r="N334" s="209"/>
      <c r="O334" s="209"/>
      <c r="P334" s="209"/>
      <c r="Q334" s="209"/>
      <c r="R334" s="209"/>
      <c r="S334" s="209"/>
      <c r="T334" s="209"/>
      <c r="U334" s="209"/>
      <c r="V334" s="209"/>
      <c r="W334" s="209"/>
    </row>
    <row r="335" spans="1:23" ht="11.25" hidden="1" customHeight="1" x14ac:dyDescent="0.25">
      <c r="A335" s="1169">
        <f t="shared" si="40"/>
        <v>0</v>
      </c>
      <c r="B335" s="1046"/>
      <c r="C335" s="1053"/>
      <c r="D335" s="1053"/>
      <c r="E335" s="1054"/>
      <c r="F335" s="1055"/>
      <c r="G335" s="1053"/>
      <c r="H335" s="1056"/>
      <c r="I335" s="1053"/>
      <c r="J335" s="1054"/>
      <c r="K335" s="1054"/>
      <c r="L335" s="208"/>
      <c r="M335" s="209"/>
      <c r="N335" s="209"/>
      <c r="O335" s="209"/>
      <c r="P335" s="209"/>
      <c r="Q335" s="209"/>
      <c r="R335" s="209"/>
      <c r="S335" s="209"/>
      <c r="T335" s="209"/>
      <c r="U335" s="209"/>
      <c r="V335" s="209"/>
      <c r="W335" s="209"/>
    </row>
    <row r="336" spans="1:23" ht="11.25" hidden="1" customHeight="1" x14ac:dyDescent="0.25">
      <c r="A336" s="1169">
        <f t="shared" si="40"/>
        <v>0</v>
      </c>
      <c r="B336" s="1046"/>
      <c r="C336" s="1053"/>
      <c r="D336" s="1053"/>
      <c r="E336" s="1054"/>
      <c r="F336" s="1055"/>
      <c r="G336" s="1053"/>
      <c r="H336" s="1056"/>
      <c r="I336" s="1053"/>
      <c r="J336" s="1054"/>
      <c r="K336" s="1054"/>
      <c r="L336" s="208"/>
      <c r="M336" s="209"/>
      <c r="N336" s="209"/>
      <c r="O336" s="209"/>
      <c r="P336" s="209"/>
      <c r="Q336" s="209"/>
      <c r="R336" s="209"/>
      <c r="S336" s="209"/>
      <c r="T336" s="209"/>
      <c r="U336" s="209"/>
      <c r="V336" s="209"/>
      <c r="W336" s="209"/>
    </row>
    <row r="337" spans="1:23" ht="11.25" customHeight="1" x14ac:dyDescent="0.25">
      <c r="A337" s="1169">
        <f t="shared" si="40"/>
        <v>0</v>
      </c>
      <c r="B337" s="1046"/>
      <c r="C337" s="1053"/>
      <c r="D337" s="1053"/>
      <c r="E337" s="1054"/>
      <c r="F337" s="1055"/>
      <c r="G337" s="1053"/>
      <c r="H337" s="1056"/>
      <c r="I337" s="1053"/>
      <c r="J337" s="1054"/>
      <c r="K337" s="1054"/>
      <c r="L337" s="208"/>
      <c r="M337" s="209"/>
      <c r="N337" s="209"/>
      <c r="O337" s="209"/>
      <c r="P337" s="209"/>
      <c r="Q337" s="209"/>
      <c r="R337" s="209"/>
      <c r="S337" s="209"/>
      <c r="T337" s="209"/>
      <c r="U337" s="209"/>
      <c r="V337" s="209"/>
      <c r="W337" s="209"/>
    </row>
    <row r="338" spans="1:23" ht="11.25" customHeight="1" x14ac:dyDescent="0.25">
      <c r="A338" s="197" t="s">
        <v>179</v>
      </c>
      <c r="B338" s="1046">
        <v>2</v>
      </c>
      <c r="C338" s="213">
        <f>C173+C184+C195+C206+C217+C228+C239+C250+C261+C283+C294+C305+C316+C327+C272</f>
        <v>2807100182</v>
      </c>
      <c r="D338" s="213">
        <f>D173+D184+D195+D206+D217+D228+D239+D250+D261+D283+D294+D305+D316+D327+D272</f>
        <v>2807201317</v>
      </c>
      <c r="E338" s="214">
        <f t="shared" ref="E338:K338" si="45">E173+E184+E195+E206+E217+E228+E239+E250+E261+E283+E294+E305+E316+E327+E272</f>
        <v>2653096170</v>
      </c>
      <c r="F338" s="215">
        <f t="shared" si="45"/>
        <v>2982646286</v>
      </c>
      <c r="G338" s="213">
        <f t="shared" si="45"/>
        <v>3129238207</v>
      </c>
      <c r="H338" s="212">
        <f t="shared" si="45"/>
        <v>3129238207</v>
      </c>
      <c r="I338" s="216">
        <f t="shared" si="45"/>
        <v>3473827694.0636907</v>
      </c>
      <c r="J338" s="213">
        <f t="shared" si="45"/>
        <v>3657992447.4549508</v>
      </c>
      <c r="K338" s="214">
        <f t="shared" si="45"/>
        <v>4003496848.0402536</v>
      </c>
      <c r="L338" s="199">
        <f t="shared" ref="L338:W338" si="46">SUM(L173:L249)</f>
        <v>0</v>
      </c>
      <c r="M338" s="200">
        <f t="shared" si="46"/>
        <v>0</v>
      </c>
      <c r="N338" s="200">
        <f t="shared" si="46"/>
        <v>0</v>
      </c>
      <c r="O338" s="200">
        <f t="shared" si="46"/>
        <v>0</v>
      </c>
      <c r="P338" s="200">
        <f t="shared" si="46"/>
        <v>0</v>
      </c>
      <c r="Q338" s="200">
        <f t="shared" si="46"/>
        <v>0</v>
      </c>
      <c r="R338" s="200">
        <f t="shared" si="46"/>
        <v>0</v>
      </c>
      <c r="S338" s="200">
        <f t="shared" si="46"/>
        <v>0</v>
      </c>
      <c r="T338" s="200">
        <f t="shared" si="46"/>
        <v>0</v>
      </c>
      <c r="U338" s="200">
        <f t="shared" si="46"/>
        <v>0</v>
      </c>
      <c r="V338" s="200">
        <f t="shared" si="46"/>
        <v>0</v>
      </c>
      <c r="W338" s="200">
        <f t="shared" si="46"/>
        <v>0</v>
      </c>
    </row>
    <row r="339" spans="1:23" ht="12" customHeight="1" x14ac:dyDescent="0.25">
      <c r="A339" s="201"/>
      <c r="B339" s="1046"/>
      <c r="C339" s="218"/>
      <c r="D339" s="218"/>
      <c r="E339" s="219"/>
      <c r="F339" s="220"/>
      <c r="G339" s="218"/>
      <c r="H339" s="217"/>
      <c r="I339" s="221"/>
      <c r="J339" s="218"/>
      <c r="K339" s="219"/>
      <c r="L339" s="222"/>
      <c r="M339" s="223"/>
      <c r="N339" s="223"/>
      <c r="O339" s="223"/>
      <c r="P339" s="223"/>
      <c r="Q339" s="223"/>
      <c r="R339" s="223"/>
      <c r="S339" s="223"/>
      <c r="T339" s="223"/>
      <c r="U339" s="223"/>
      <c r="V339" s="223"/>
      <c r="W339" s="223"/>
    </row>
    <row r="340" spans="1:23" ht="11" thickBot="1" x14ac:dyDescent="0.3">
      <c r="A340" s="224" t="str">
        <f>result</f>
        <v>Surplus/(Deficit) for the year</v>
      </c>
      <c r="B340" s="1047">
        <v>2</v>
      </c>
      <c r="C340" s="227">
        <f t="shared" ref="C340:W340" si="47">C170-C338</f>
        <v>-231263993</v>
      </c>
      <c r="D340" s="227">
        <f t="shared" si="47"/>
        <v>94778707</v>
      </c>
      <c r="E340" s="228">
        <f t="shared" si="47"/>
        <v>234467958</v>
      </c>
      <c r="F340" s="229">
        <f t="shared" si="47"/>
        <v>5144622.8607997894</v>
      </c>
      <c r="G340" s="230">
        <f t="shared" si="47"/>
        <v>8792507.8607997894</v>
      </c>
      <c r="H340" s="231">
        <f t="shared" si="47"/>
        <v>8792507.8607997894</v>
      </c>
      <c r="I340" s="232">
        <f t="shared" si="47"/>
        <v>66585819.491739273</v>
      </c>
      <c r="J340" s="230">
        <f t="shared" si="47"/>
        <v>64556903.757032871</v>
      </c>
      <c r="K340" s="228">
        <f t="shared" si="47"/>
        <v>50000766.643229008</v>
      </c>
      <c r="L340" s="233">
        <f t="shared" si="47"/>
        <v>0</v>
      </c>
      <c r="M340" s="234">
        <f t="shared" si="47"/>
        <v>0</v>
      </c>
      <c r="N340" s="234">
        <f t="shared" si="47"/>
        <v>0</v>
      </c>
      <c r="O340" s="234">
        <f t="shared" si="47"/>
        <v>0</v>
      </c>
      <c r="P340" s="234">
        <f t="shared" si="47"/>
        <v>0</v>
      </c>
      <c r="Q340" s="234">
        <f t="shared" si="47"/>
        <v>0</v>
      </c>
      <c r="R340" s="234">
        <f t="shared" si="47"/>
        <v>0</v>
      </c>
      <c r="S340" s="234">
        <f t="shared" si="47"/>
        <v>0</v>
      </c>
      <c r="T340" s="234">
        <f t="shared" si="47"/>
        <v>0</v>
      </c>
      <c r="U340" s="234">
        <f t="shared" si="47"/>
        <v>0</v>
      </c>
      <c r="V340" s="234">
        <f t="shared" si="47"/>
        <v>0</v>
      </c>
      <c r="W340" s="234">
        <f t="shared" si="47"/>
        <v>0</v>
      </c>
    </row>
    <row r="341" spans="1:23" s="709" customFormat="1" ht="11.25" customHeight="1" thickTop="1" x14ac:dyDescent="0.25">
      <c r="A341" s="1232" t="str">
        <f>head27a</f>
        <v>References</v>
      </c>
      <c r="B341" s="1038"/>
      <c r="C341" s="1039"/>
      <c r="D341" s="1040"/>
      <c r="E341" s="1040"/>
      <c r="F341" s="1040"/>
      <c r="G341" s="1040"/>
      <c r="H341" s="1040"/>
      <c r="I341" s="1040"/>
      <c r="J341" s="1040"/>
      <c r="K341" s="1040"/>
    </row>
    <row r="342" spans="1:23" s="709" customFormat="1" ht="11.25" customHeight="1" x14ac:dyDescent="0.25">
      <c r="A342" s="1197" t="s">
        <v>650</v>
      </c>
      <c r="B342" s="1038"/>
      <c r="C342" s="1041"/>
      <c r="D342" s="1041"/>
      <c r="E342" s="1042"/>
      <c r="F342" s="1042"/>
      <c r="G342" s="1042"/>
      <c r="H342" s="1042"/>
      <c r="I342" s="1042"/>
      <c r="J342" s="1042"/>
      <c r="K342" s="1042"/>
    </row>
    <row r="343" spans="1:23" s="709" customFormat="1" ht="11.25" customHeight="1" x14ac:dyDescent="0.25">
      <c r="A343" s="1238" t="s">
        <v>438</v>
      </c>
      <c r="B343" s="1038"/>
      <c r="C343" s="1041"/>
      <c r="D343" s="1041"/>
      <c r="E343" s="1042"/>
      <c r="F343" s="1042"/>
      <c r="G343" s="1042"/>
      <c r="H343" s="1042"/>
      <c r="I343" s="1042"/>
      <c r="J343" s="1042"/>
      <c r="K343" s="1042"/>
    </row>
    <row r="344" spans="1:23" s="709" customFormat="1" ht="11.25" customHeight="1" x14ac:dyDescent="0.25">
      <c r="A344" s="1238" t="s">
        <v>436</v>
      </c>
      <c r="B344" s="1043"/>
      <c r="C344" s="1044"/>
      <c r="D344" s="1044"/>
      <c r="E344" s="1045"/>
      <c r="F344" s="1045"/>
      <c r="G344" s="1045"/>
      <c r="H344" s="1045"/>
      <c r="I344" s="1045"/>
      <c r="J344" s="1045"/>
      <c r="K344" s="1045"/>
    </row>
    <row r="345" spans="1:23" ht="11.25" customHeight="1" x14ac:dyDescent="0.25">
      <c r="A345" s="246"/>
    </row>
    <row r="346" spans="1:23" ht="11.25" customHeight="1" x14ac:dyDescent="0.25">
      <c r="A346" s="1239" t="s">
        <v>11</v>
      </c>
      <c r="B346" s="704"/>
      <c r="C346" s="1240">
        <f>C170-'A4-FinPerf RE'!C60</f>
        <v>439</v>
      </c>
      <c r="D346" s="1240">
        <f>D170-'A4-FinPerf RE'!D60</f>
        <v>-482</v>
      </c>
      <c r="E346" s="1240">
        <f>E170-'A4-FinPerf RE'!E60</f>
        <v>186</v>
      </c>
      <c r="F346" s="1240">
        <f>F170-'A4-FinPerf RE'!F60</f>
        <v>829.63306665420532</v>
      </c>
      <c r="G346" s="1240">
        <f>G170-'A4-FinPerf RE'!G60</f>
        <v>-887.13920021057129</v>
      </c>
      <c r="H346" s="1240">
        <f>H170-'A4-FinPerf RE'!H60</f>
        <v>-887.13920021057129</v>
      </c>
      <c r="I346" s="1240">
        <f>I170-'A4-FinPerf RE'!J60</f>
        <v>-766.44457006454468</v>
      </c>
      <c r="J346" s="1240">
        <f>J170-'A4-FinPerf RE'!K60</f>
        <v>92.211983680725098</v>
      </c>
      <c r="K346" s="1240">
        <f>K170-'A4-FinPerf RE'!L60</f>
        <v>-345.92262649536133</v>
      </c>
    </row>
    <row r="347" spans="1:23" ht="11.25" customHeight="1" x14ac:dyDescent="0.25">
      <c r="A347" s="1239" t="s">
        <v>12</v>
      </c>
      <c r="B347" s="704"/>
      <c r="C347" s="1240">
        <f>C338-'A4-FinPerf RE'!C36</f>
        <v>0</v>
      </c>
      <c r="D347" s="1240">
        <f>D338-'A4-FinPerf RE'!D36</f>
        <v>0</v>
      </c>
      <c r="E347" s="1240">
        <f>E338-'A4-FinPerf RE'!E36</f>
        <v>0.44999980926513672</v>
      </c>
      <c r="F347" s="1240">
        <f>F338-'A4-FinPerf RE'!F36</f>
        <v>0.30738067626953125</v>
      </c>
      <c r="G347" s="1240">
        <f>G338-'A4-FinPerf RE'!G36</f>
        <v>-2361</v>
      </c>
      <c r="H347" s="1240">
        <f>H338-'A4-FinPerf RE'!H36</f>
        <v>-887</v>
      </c>
      <c r="I347" s="1240">
        <f>I338-'A4-FinPerf RE'!J36</f>
        <v>-766.93630933761597</v>
      </c>
      <c r="J347" s="1240">
        <f>J338-'A4-FinPerf RE'!K36</f>
        <v>92.45495080947876</v>
      </c>
      <c r="K347" s="1240">
        <f>K338-'A4-FinPerf RE'!L36</f>
        <v>-345.95974636077881</v>
      </c>
    </row>
    <row r="348" spans="1:23" ht="11.25" customHeight="1" x14ac:dyDescent="0.25">
      <c r="A348" s="246"/>
    </row>
    <row r="349" spans="1:23" ht="11.25" customHeight="1" x14ac:dyDescent="0.25">
      <c r="A349" s="246"/>
    </row>
    <row r="350" spans="1:23" ht="11.25" customHeight="1" x14ac:dyDescent="0.25">
      <c r="A350" s="246"/>
    </row>
    <row r="351" spans="1:23" ht="11.25" customHeight="1" x14ac:dyDescent="0.25"/>
    <row r="352" spans="1:23"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3">
    <mergeCell ref="L2:W2"/>
    <mergeCell ref="F2:H2"/>
    <mergeCell ref="I2:K2"/>
  </mergeCells>
  <phoneticPr fontId="2" type="noConversion"/>
  <dataValidations xWindow="42844" yWindow="125" count="2">
    <dataValidation type="list" allowBlank="1" showInputMessage="1" showErrorMessage="1" promptTitle="Select Vote" prompt="Select Vote from list" sqref="A184">
      <formula1>Vote</formula1>
    </dataValidation>
    <dataValidation type="decimal" allowBlank="1" showInputMessage="1" showErrorMessage="1" sqref="I28:K28 I196:K196">
      <formula1>-999999999999999</formula1>
      <formula2>99999999999999</formula2>
    </dataValidation>
  </dataValidations>
  <pageMargins left="0.35433070866141736" right="0.11811023622047245" top="0.78740157480314965" bottom="0.59055118110236227" header="0.51181102362204722" footer="0.35433070866141736"/>
  <pageSetup paperSize="9" scale="81" fitToHeight="2"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4"/>
    <pageSetUpPr fitToPage="1"/>
  </sheetPr>
  <dimension ref="A1:Y92"/>
  <sheetViews>
    <sheetView showGridLines="0" view="pageBreakPreview" zoomScaleNormal="100" zoomScaleSheetLayoutView="100" workbookViewId="0">
      <pane xSplit="2" ySplit="3" topLeftCell="C28" activePane="bottomRight" state="frozen"/>
      <selection pane="topRight"/>
      <selection pane="bottomLeft"/>
      <selection pane="bottomRight" activeCell="H51" sqref="H51"/>
    </sheetView>
  </sheetViews>
  <sheetFormatPr defaultColWidth="9.1796875" defaultRowHeight="10.5" x14ac:dyDescent="0.25"/>
  <cols>
    <col min="1" max="1" width="30.7265625" style="149" customWidth="1"/>
    <col min="2" max="2" width="3" style="247" customWidth="1"/>
    <col min="3" max="8" width="9.26953125" style="149" customWidth="1"/>
    <col min="9" max="9" width="9.1796875" style="149" customWidth="1"/>
    <col min="10" max="12" width="9.26953125" style="149" customWidth="1"/>
    <col min="13" max="13" width="9.81640625" style="149" hidden="1" customWidth="1"/>
    <col min="14" max="14" width="9.54296875" style="149" hidden="1" customWidth="1"/>
    <col min="15" max="15" width="9.81640625" style="149" hidden="1" customWidth="1"/>
    <col min="16" max="18" width="9.54296875" style="149" hidden="1" customWidth="1"/>
    <col min="19" max="19" width="9.81640625" style="149" hidden="1" customWidth="1"/>
    <col min="20" max="22" width="9.54296875" style="149" hidden="1" customWidth="1"/>
    <col min="23" max="24" width="9.81640625" style="149" hidden="1" customWidth="1"/>
    <col min="25" max="16384" width="9.1796875" style="149"/>
  </cols>
  <sheetData>
    <row r="1" spans="1:25" s="179" customFormat="1" ht="13" x14ac:dyDescent="0.3">
      <c r="A1" s="147" t="str">
        <f>muni&amp;" - "&amp;Approve4</f>
        <v>KZN225 Msunduzi - Table A4 Consolidated Budgeted Financial Performance (revenue and expenditure)</v>
      </c>
      <c r="B1" s="147"/>
      <c r="C1" s="147"/>
      <c r="D1" s="147"/>
      <c r="E1" s="147"/>
      <c r="F1" s="147"/>
      <c r="G1" s="147"/>
      <c r="H1" s="147"/>
      <c r="I1" s="147"/>
      <c r="J1" s="147"/>
      <c r="K1" s="147"/>
      <c r="L1" s="147"/>
    </row>
    <row r="2" spans="1:25" ht="28.5" customHeight="1" x14ac:dyDescent="0.25">
      <c r="A2" s="975" t="str">
        <f>desc</f>
        <v>Description</v>
      </c>
      <c r="B2" s="419" t="str">
        <f>head27</f>
        <v>Ref</v>
      </c>
      <c r="C2" s="150" t="str">
        <f>head1b</f>
        <v>2009/10</v>
      </c>
      <c r="D2" s="150" t="str">
        <f>head1A</f>
        <v>2010/11</v>
      </c>
      <c r="E2" s="146" t="str">
        <f>Head1</f>
        <v>2011/12</v>
      </c>
      <c r="F2" s="2677" t="str">
        <f>Head2</f>
        <v>Current Year 2012/13</v>
      </c>
      <c r="G2" s="2678"/>
      <c r="H2" s="2678"/>
      <c r="I2" s="2678"/>
      <c r="J2" s="2674" t="str">
        <f>Head3</f>
        <v>2013/14 Medium Term Revenue &amp; Expenditure Framework</v>
      </c>
      <c r="K2" s="2675"/>
      <c r="L2" s="2676"/>
      <c r="M2" s="2691" t="str">
        <f>Head4</f>
        <v>LTFS</v>
      </c>
      <c r="N2" s="2691"/>
      <c r="O2" s="2691"/>
      <c r="P2" s="2691"/>
      <c r="Q2" s="2691"/>
      <c r="R2" s="2691"/>
      <c r="S2" s="2691"/>
      <c r="T2" s="2691"/>
      <c r="U2" s="2691"/>
      <c r="V2" s="2691"/>
      <c r="W2" s="2691"/>
      <c r="X2" s="2692"/>
    </row>
    <row r="3" spans="1:25" ht="21" x14ac:dyDescent="0.25">
      <c r="A3" s="180" t="s">
        <v>665</v>
      </c>
      <c r="B3" s="290">
        <v>1</v>
      </c>
      <c r="C3" s="390" t="str">
        <f>Head5</f>
        <v>Audited Outcome</v>
      </c>
      <c r="D3" s="390" t="str">
        <f>Head5</f>
        <v>Audited Outcome</v>
      </c>
      <c r="E3" s="391" t="str">
        <f>Head5</f>
        <v>Audited Outcome</v>
      </c>
      <c r="F3" s="299" t="str">
        <f>Head6</f>
        <v>Original Budget</v>
      </c>
      <c r="G3" s="390" t="str">
        <f>Head7</f>
        <v>Adjusted Budget</v>
      </c>
      <c r="H3" s="391" t="str">
        <f>Head8</f>
        <v>Full Year Forecast</v>
      </c>
      <c r="I3" s="389" t="str">
        <f>Head5b</f>
        <v>Pre-audit outcome</v>
      </c>
      <c r="J3" s="299" t="str">
        <f>Head9</f>
        <v>Budget Year 2013/14</v>
      </c>
      <c r="K3" s="390" t="str">
        <f>Head10</f>
        <v>Budget Year +1 2014/15</v>
      </c>
      <c r="L3" s="391" t="str">
        <f>Head11</f>
        <v>Budget Year +2 2015/16</v>
      </c>
      <c r="M3" s="1548" t="str">
        <f>Head12</f>
        <v>Forecast 2016/17</v>
      </c>
      <c r="N3" s="1549" t="str">
        <f>Head13</f>
        <v>Forecast 2017/18</v>
      </c>
      <c r="O3" s="1549" t="str">
        <f>Head14</f>
        <v>Forecast 2018/19</v>
      </c>
      <c r="P3" s="1549" t="str">
        <f>Head15</f>
        <v>Forecast 2019/20</v>
      </c>
      <c r="Q3" s="1549" t="str">
        <f>Head16</f>
        <v>Forecast 2020/21</v>
      </c>
      <c r="R3" s="1549" t="str">
        <f>Head17</f>
        <v>Forecast 2021/22</v>
      </c>
      <c r="S3" s="1549" t="str">
        <f>Head18</f>
        <v>Forecast 2022/23</v>
      </c>
      <c r="T3" s="1549" t="str">
        <f>Head19</f>
        <v>Forecast 2023/24</v>
      </c>
      <c r="U3" s="1549" t="str">
        <f>Head20</f>
        <v>Forecast 2024/25</v>
      </c>
      <c r="V3" s="1549" t="str">
        <f>Head21</f>
        <v>Forecast 2025/26</v>
      </c>
      <c r="W3" s="1549" t="str">
        <f>Head22</f>
        <v>Forecast 2026/27</v>
      </c>
      <c r="X3" s="1549" t="str">
        <f>Head23</f>
        <v>Forecast 2027/28</v>
      </c>
    </row>
    <row r="4" spans="1:25" ht="12.75" customHeight="1" x14ac:dyDescent="0.25">
      <c r="A4" s="249" t="s">
        <v>667</v>
      </c>
      <c r="B4" s="291"/>
      <c r="C4" s="184"/>
      <c r="D4" s="184"/>
      <c r="E4" s="292"/>
      <c r="F4" s="186"/>
      <c r="G4" s="184"/>
      <c r="H4" s="185"/>
      <c r="I4" s="183"/>
      <c r="J4" s="187"/>
      <c r="K4" s="184"/>
      <c r="L4" s="185"/>
      <c r="M4" s="188"/>
      <c r="N4" s="189"/>
      <c r="O4" s="189"/>
      <c r="P4" s="189"/>
      <c r="Q4" s="189"/>
      <c r="R4" s="189"/>
      <c r="S4" s="189"/>
      <c r="T4" s="189"/>
      <c r="U4" s="189"/>
      <c r="V4" s="189"/>
      <c r="W4" s="189"/>
      <c r="X4" s="189"/>
      <c r="Y4" s="370"/>
    </row>
    <row r="5" spans="1:25" ht="12.75" customHeight="1" x14ac:dyDescent="0.25">
      <c r="A5" s="250" t="s">
        <v>540</v>
      </c>
      <c r="B5" s="294">
        <v>2</v>
      </c>
      <c r="C5" s="1063">
        <f>'SA1'!C9</f>
        <v>420030161</v>
      </c>
      <c r="D5" s="1063">
        <f>'SA1'!D9</f>
        <v>448256813</v>
      </c>
      <c r="E5" s="1425">
        <f>'SA1'!E9</f>
        <v>505310156</v>
      </c>
      <c r="F5" s="1067">
        <f>'SA1'!F9</f>
        <v>576401674</v>
      </c>
      <c r="G5" s="1063">
        <f>'SA1'!G9</f>
        <v>576401674</v>
      </c>
      <c r="H5" s="1150">
        <f>'SA1'!H9</f>
        <v>576401674</v>
      </c>
      <c r="I5" s="1066">
        <f>'SA1'!I9</f>
        <v>576401674</v>
      </c>
      <c r="J5" s="1067">
        <f>'SA1'!J9</f>
        <v>608103766</v>
      </c>
      <c r="K5" s="1063">
        <f>'SA1'!K9</f>
        <v>641549473</v>
      </c>
      <c r="L5" s="1150">
        <f>'SA1'!L9</f>
        <v>676834694</v>
      </c>
      <c r="M5" s="195"/>
      <c r="N5" s="196"/>
      <c r="O5" s="196"/>
      <c r="P5" s="196"/>
      <c r="Q5" s="196"/>
      <c r="R5" s="196"/>
      <c r="S5" s="196"/>
      <c r="T5" s="196"/>
      <c r="U5" s="196"/>
      <c r="V5" s="196"/>
      <c r="W5" s="196"/>
      <c r="X5" s="196"/>
      <c r="Y5" s="370"/>
    </row>
    <row r="6" spans="1:25" ht="12.75" customHeight="1" x14ac:dyDescent="0.35">
      <c r="A6" s="250" t="s">
        <v>1601</v>
      </c>
      <c r="B6" s="294"/>
      <c r="C6" s="1614">
        <v>20284950</v>
      </c>
      <c r="D6" s="1614">
        <v>26358475</v>
      </c>
      <c r="E6" s="1615">
        <v>31244472</v>
      </c>
      <c r="F6" s="1616">
        <v>33812264.115733333</v>
      </c>
      <c r="G6" s="2605">
        <v>47501067</v>
      </c>
      <c r="H6" s="1617">
        <f>G6</f>
        <v>47501067</v>
      </c>
      <c r="I6" s="1617">
        <f>H6</f>
        <v>47501067</v>
      </c>
      <c r="J6" s="1614">
        <v>37363000</v>
      </c>
      <c r="K6" s="1617">
        <v>38857000</v>
      </c>
      <c r="L6" s="2605">
        <v>40800000</v>
      </c>
      <c r="M6" s="195"/>
      <c r="N6" s="196"/>
      <c r="O6" s="196"/>
      <c r="P6" s="196"/>
      <c r="Q6" s="196"/>
      <c r="R6" s="196"/>
      <c r="S6" s="196"/>
      <c r="T6" s="196"/>
      <c r="U6" s="196"/>
      <c r="V6" s="196"/>
      <c r="W6" s="196"/>
      <c r="X6" s="196"/>
      <c r="Y6" s="370"/>
    </row>
    <row r="7" spans="1:25" ht="12.75" customHeight="1" x14ac:dyDescent="0.25">
      <c r="A7" s="254" t="s">
        <v>1793</v>
      </c>
      <c r="B7" s="294">
        <v>2</v>
      </c>
      <c r="C7" s="1063">
        <f>'SA1'!C14</f>
        <v>816172839</v>
      </c>
      <c r="D7" s="1063">
        <f>'SA1'!D14</f>
        <v>1011458928</v>
      </c>
      <c r="E7" s="1425">
        <f>'SA1'!E14</f>
        <v>1212660157</v>
      </c>
      <c r="F7" s="1067">
        <f>'SA1'!F14</f>
        <v>1416916699</v>
      </c>
      <c r="G7" s="1063">
        <f>'SA1'!G14</f>
        <v>1417115010</v>
      </c>
      <c r="H7" s="1150">
        <f>'SA1'!H14</f>
        <v>1417115010</v>
      </c>
      <c r="I7" s="1066">
        <f>'SA1'!I14</f>
        <v>1417115010</v>
      </c>
      <c r="J7" s="1067">
        <f>'SA1'!J14</f>
        <v>1558826512</v>
      </c>
      <c r="K7" s="1063">
        <f>'SA1'!K14</f>
        <v>1714709163</v>
      </c>
      <c r="L7" s="1150">
        <f>'SA1'!L14</f>
        <v>1886180080</v>
      </c>
      <c r="M7" s="195"/>
      <c r="N7" s="196"/>
      <c r="O7" s="196"/>
      <c r="P7" s="196"/>
      <c r="Q7" s="196"/>
      <c r="R7" s="196"/>
      <c r="S7" s="196"/>
      <c r="T7" s="196"/>
      <c r="U7" s="196"/>
      <c r="V7" s="196"/>
      <c r="W7" s="196"/>
      <c r="X7" s="196"/>
      <c r="Y7" s="370"/>
    </row>
    <row r="8" spans="1:25" ht="12.75" customHeight="1" x14ac:dyDescent="0.25">
      <c r="A8" s="254" t="s">
        <v>1794</v>
      </c>
      <c r="B8" s="294">
        <v>2</v>
      </c>
      <c r="C8" s="1063">
        <f>'SA1'!C19</f>
        <v>213633343</v>
      </c>
      <c r="D8" s="1063">
        <f>'SA1'!D19</f>
        <v>270106949</v>
      </c>
      <c r="E8" s="1425">
        <f>'SA1'!E19</f>
        <v>288345314</v>
      </c>
      <c r="F8" s="1067">
        <f>'SA1'!F19</f>
        <v>317353656</v>
      </c>
      <c r="G8" s="1063">
        <f>'SA1'!G19</f>
        <v>339545266</v>
      </c>
      <c r="H8" s="1150">
        <f>'SA1'!H19</f>
        <v>339545266</v>
      </c>
      <c r="I8" s="1066">
        <f>'SA1'!I19</f>
        <v>339545266</v>
      </c>
      <c r="J8" s="1067">
        <f>'SA1'!J19</f>
        <v>373499792</v>
      </c>
      <c r="K8" s="1063">
        <f>'SA1'!K19</f>
        <v>410849771</v>
      </c>
      <c r="L8" s="1150">
        <f>'SA1'!L19</f>
        <v>451934749</v>
      </c>
      <c r="M8" s="195"/>
      <c r="N8" s="196"/>
      <c r="O8" s="196"/>
      <c r="P8" s="196"/>
      <c r="Q8" s="196"/>
      <c r="R8" s="196"/>
      <c r="S8" s="196"/>
      <c r="T8" s="196"/>
      <c r="U8" s="196"/>
      <c r="V8" s="196"/>
      <c r="W8" s="196"/>
      <c r="X8" s="196"/>
      <c r="Y8" s="370"/>
    </row>
    <row r="9" spans="1:25" ht="12.75" customHeight="1" x14ac:dyDescent="0.25">
      <c r="A9" s="254" t="s">
        <v>931</v>
      </c>
      <c r="B9" s="294">
        <v>2</v>
      </c>
      <c r="C9" s="1063">
        <f>'SA1'!C24</f>
        <v>76207067</v>
      </c>
      <c r="D9" s="1063">
        <f>'SA1'!D24</f>
        <v>102592352</v>
      </c>
      <c r="E9" s="1425">
        <f>'SA1'!E24</f>
        <v>107506830</v>
      </c>
      <c r="F9" s="1067">
        <f>'SA1'!F24</f>
        <v>114000000</v>
      </c>
      <c r="G9" s="1063">
        <f>'SA1'!G24</f>
        <v>125263313</v>
      </c>
      <c r="H9" s="1150">
        <f>'SA1'!H24</f>
        <v>125263313</v>
      </c>
      <c r="I9" s="1066">
        <f>'SA1'!I24</f>
        <v>125263313</v>
      </c>
      <c r="J9" s="1067">
        <f>'SA1'!J24</f>
        <v>132152794</v>
      </c>
      <c r="K9" s="1063">
        <f>'SA1'!K24</f>
        <v>139421198</v>
      </c>
      <c r="L9" s="1150">
        <f>'SA1'!L24</f>
        <v>147089364</v>
      </c>
      <c r="M9" s="195"/>
      <c r="N9" s="196"/>
      <c r="O9" s="196"/>
      <c r="P9" s="196"/>
      <c r="Q9" s="196"/>
      <c r="R9" s="196"/>
      <c r="S9" s="196"/>
      <c r="T9" s="196"/>
      <c r="U9" s="196"/>
      <c r="V9" s="196"/>
      <c r="W9" s="196"/>
      <c r="X9" s="196"/>
      <c r="Y9" s="370"/>
    </row>
    <row r="10" spans="1:25" ht="12.75" customHeight="1" x14ac:dyDescent="0.25">
      <c r="A10" s="254" t="s">
        <v>1041</v>
      </c>
      <c r="B10" s="294">
        <v>2</v>
      </c>
      <c r="C10" s="207">
        <f>'SA1'!C30</f>
        <v>53287411</v>
      </c>
      <c r="D10" s="207">
        <f>'SA1'!D30</f>
        <v>65558726</v>
      </c>
      <c r="E10" s="204">
        <f>'SA1'!E30</f>
        <v>70091118</v>
      </c>
      <c r="F10" s="205">
        <f>'SA1'!F30</f>
        <v>78752202</v>
      </c>
      <c r="G10" s="203">
        <f>'SA1'!G30</f>
        <v>73546947</v>
      </c>
      <c r="H10" s="808">
        <f>'SA1'!H30</f>
        <v>73546947</v>
      </c>
      <c r="I10" s="202">
        <f>'SA1'!I30</f>
        <v>73546947</v>
      </c>
      <c r="J10" s="206">
        <f>'SA1'!J30</f>
        <v>77592029</v>
      </c>
      <c r="K10" s="203">
        <f>'SA1'!K30</f>
        <v>81859591</v>
      </c>
      <c r="L10" s="204">
        <f>'SA1'!L30</f>
        <v>86361868</v>
      </c>
      <c r="M10" s="195"/>
      <c r="N10" s="196"/>
      <c r="O10" s="196"/>
      <c r="P10" s="196"/>
      <c r="Q10" s="196"/>
      <c r="R10" s="196"/>
      <c r="S10" s="196"/>
      <c r="T10" s="196"/>
      <c r="U10" s="196"/>
      <c r="V10" s="196"/>
      <c r="W10" s="196"/>
      <c r="X10" s="196"/>
      <c r="Y10" s="370"/>
    </row>
    <row r="11" spans="1:25" ht="12.75" customHeight="1" x14ac:dyDescent="0.35">
      <c r="A11" s="254" t="s">
        <v>933</v>
      </c>
      <c r="B11" s="293"/>
      <c r="C11" s="1614">
        <v>0</v>
      </c>
      <c r="D11" s="1614">
        <v>0</v>
      </c>
      <c r="E11" s="1634"/>
      <c r="F11" s="1635">
        <v>0</v>
      </c>
      <c r="G11" s="2605">
        <v>0</v>
      </c>
      <c r="H11" s="1634">
        <v>0</v>
      </c>
      <c r="I11" s="1636">
        <v>0</v>
      </c>
      <c r="J11" s="1616">
        <v>0</v>
      </c>
      <c r="K11" s="1614">
        <v>0</v>
      </c>
      <c r="L11" s="1634">
        <v>0</v>
      </c>
      <c r="M11" s="195"/>
      <c r="N11" s="196"/>
      <c r="O11" s="196"/>
      <c r="P11" s="196"/>
      <c r="Q11" s="196"/>
      <c r="R11" s="196"/>
      <c r="S11" s="196"/>
      <c r="T11" s="196"/>
      <c r="U11" s="196"/>
      <c r="V11" s="196"/>
      <c r="W11" s="196"/>
      <c r="X11" s="196"/>
      <c r="Y11" s="370"/>
    </row>
    <row r="12" spans="1:25" ht="12.75" customHeight="1" x14ac:dyDescent="0.35">
      <c r="A12" s="254" t="s">
        <v>1603</v>
      </c>
      <c r="B12" s="293"/>
      <c r="C12" s="1614">
        <v>15571328</v>
      </c>
      <c r="D12" s="1614">
        <v>17312556</v>
      </c>
      <c r="E12" s="1634">
        <v>17943780</v>
      </c>
      <c r="F12" s="1635">
        <v>19533772</v>
      </c>
      <c r="G12" s="2605">
        <v>23949489</v>
      </c>
      <c r="H12" s="2605">
        <v>23949489</v>
      </c>
      <c r="I12" s="2605">
        <f>23949489-1000</f>
        <v>23948489</v>
      </c>
      <c r="J12" s="1614">
        <v>26343079</v>
      </c>
      <c r="K12" s="1634">
        <f>28977000</f>
        <v>28977000</v>
      </c>
      <c r="L12" s="2605">
        <v>31875362</v>
      </c>
      <c r="M12" s="195"/>
      <c r="N12" s="196"/>
      <c r="O12" s="196"/>
      <c r="P12" s="196"/>
      <c r="Q12" s="196"/>
      <c r="R12" s="196"/>
      <c r="S12" s="196"/>
      <c r="T12" s="196"/>
      <c r="U12" s="196"/>
      <c r="V12" s="196"/>
      <c r="W12" s="196"/>
      <c r="X12" s="196"/>
    </row>
    <row r="13" spans="1:25" ht="12.75" customHeight="1" x14ac:dyDescent="0.35">
      <c r="A13" s="250" t="s">
        <v>470</v>
      </c>
      <c r="B13" s="293"/>
      <c r="C13" s="1614">
        <v>6868503</v>
      </c>
      <c r="D13" s="1614">
        <v>13795214</v>
      </c>
      <c r="E13" s="1634">
        <v>25906640</v>
      </c>
      <c r="F13" s="1635">
        <v>12100000</v>
      </c>
      <c r="G13" s="2605">
        <f>18356634-1000</f>
        <v>18355634</v>
      </c>
      <c r="H13" s="2605">
        <f>G13</f>
        <v>18355634</v>
      </c>
      <c r="I13" s="2605">
        <v>18356634</v>
      </c>
      <c r="J13" s="1614">
        <v>18941134</v>
      </c>
      <c r="K13" s="1634">
        <v>19366249</v>
      </c>
      <c r="L13" s="2605">
        <v>20431392.6112752</v>
      </c>
      <c r="M13" s="195"/>
      <c r="N13" s="196"/>
      <c r="O13" s="196"/>
      <c r="P13" s="196"/>
      <c r="Q13" s="196"/>
      <c r="R13" s="196"/>
      <c r="S13" s="196"/>
      <c r="T13" s="196"/>
      <c r="U13" s="196"/>
      <c r="V13" s="196"/>
      <c r="W13" s="196"/>
      <c r="X13" s="196"/>
    </row>
    <row r="14" spans="1:25" ht="12.75" customHeight="1" x14ac:dyDescent="0.35">
      <c r="A14" s="250" t="s">
        <v>471</v>
      </c>
      <c r="B14" s="293"/>
      <c r="C14" s="1614">
        <v>21160808</v>
      </c>
      <c r="D14" s="1614">
        <v>38044140</v>
      </c>
      <c r="E14" s="1634">
        <v>58253996</v>
      </c>
      <c r="F14" s="1636">
        <v>0</v>
      </c>
      <c r="G14" s="2605">
        <v>1151651</v>
      </c>
      <c r="H14" s="2605">
        <v>1151651</v>
      </c>
      <c r="I14" s="2605">
        <v>1151651</v>
      </c>
      <c r="J14" s="1614">
        <v>1254834</v>
      </c>
      <c r="K14" s="1634">
        <v>1292479</v>
      </c>
      <c r="L14" s="2605">
        <v>1318329</v>
      </c>
      <c r="M14" s="195"/>
      <c r="N14" s="196"/>
      <c r="O14" s="196"/>
      <c r="P14" s="196"/>
      <c r="Q14" s="196"/>
      <c r="R14" s="196"/>
      <c r="S14" s="196"/>
      <c r="T14" s="196"/>
      <c r="U14" s="196"/>
      <c r="V14" s="196"/>
      <c r="W14" s="196"/>
      <c r="X14" s="196"/>
    </row>
    <row r="15" spans="1:25" ht="12.75" customHeight="1" x14ac:dyDescent="0.25">
      <c r="A15" s="250" t="s">
        <v>1522</v>
      </c>
      <c r="B15" s="293"/>
      <c r="C15" s="1637">
        <v>0</v>
      </c>
      <c r="D15" s="1637">
        <v>0</v>
      </c>
      <c r="E15" s="1646">
        <v>0</v>
      </c>
      <c r="F15" s="2526">
        <v>0</v>
      </c>
      <c r="G15" s="1637">
        <v>0</v>
      </c>
      <c r="H15" s="1637">
        <v>0</v>
      </c>
      <c r="I15" s="1637">
        <v>0</v>
      </c>
      <c r="J15" s="1637">
        <v>0</v>
      </c>
      <c r="K15" s="1638">
        <v>0</v>
      </c>
      <c r="L15" s="1646">
        <v>0</v>
      </c>
      <c r="M15" s="195"/>
      <c r="N15" s="196"/>
      <c r="O15" s="196"/>
      <c r="P15" s="196"/>
      <c r="Q15" s="196"/>
      <c r="R15" s="196"/>
      <c r="S15" s="196"/>
      <c r="T15" s="196"/>
      <c r="U15" s="196"/>
      <c r="V15" s="196"/>
      <c r="W15" s="196"/>
      <c r="X15" s="196"/>
    </row>
    <row r="16" spans="1:25" ht="12.75" customHeight="1" x14ac:dyDescent="0.35">
      <c r="A16" s="250" t="s">
        <v>472</v>
      </c>
      <c r="B16" s="293"/>
      <c r="C16" s="1637">
        <v>7084343</v>
      </c>
      <c r="D16" s="1637">
        <v>5354278</v>
      </c>
      <c r="E16" s="1646">
        <v>3813388</v>
      </c>
      <c r="F16" s="2526">
        <v>3474571</v>
      </c>
      <c r="G16" s="2605">
        <v>3566150</v>
      </c>
      <c r="H16" s="2605">
        <v>3566150</v>
      </c>
      <c r="I16" s="2605">
        <v>3566150</v>
      </c>
      <c r="J16" s="1614">
        <v>5633548</v>
      </c>
      <c r="K16" s="1634">
        <v>5931867</v>
      </c>
      <c r="L16" s="2605">
        <v>6151122.9948339984</v>
      </c>
      <c r="M16" s="195"/>
      <c r="N16" s="196"/>
      <c r="O16" s="196"/>
      <c r="P16" s="196"/>
      <c r="Q16" s="196"/>
      <c r="R16" s="196"/>
      <c r="S16" s="196"/>
      <c r="T16" s="196"/>
      <c r="U16" s="196"/>
      <c r="V16" s="196"/>
      <c r="W16" s="196"/>
      <c r="X16" s="196"/>
    </row>
    <row r="17" spans="1:24" ht="12.75" customHeight="1" x14ac:dyDescent="0.35">
      <c r="A17" s="250" t="s">
        <v>473</v>
      </c>
      <c r="B17" s="293"/>
      <c r="C17" s="1637">
        <v>72254</v>
      </c>
      <c r="D17" s="1637">
        <v>88887</v>
      </c>
      <c r="E17" s="1646">
        <v>77690</v>
      </c>
      <c r="F17" s="2526">
        <v>74387</v>
      </c>
      <c r="G17" s="2605">
        <v>44352</v>
      </c>
      <c r="H17" s="2605">
        <v>44352</v>
      </c>
      <c r="I17" s="2605">
        <v>44352</v>
      </c>
      <c r="J17" s="1614">
        <v>48000</v>
      </c>
      <c r="K17" s="1634">
        <f>50000</f>
        <v>50000</v>
      </c>
      <c r="L17" s="2605">
        <v>53000</v>
      </c>
      <c r="M17" s="195"/>
      <c r="N17" s="196"/>
      <c r="O17" s="196"/>
      <c r="P17" s="196"/>
      <c r="Q17" s="196"/>
      <c r="R17" s="196"/>
      <c r="S17" s="196"/>
      <c r="T17" s="196"/>
      <c r="U17" s="196"/>
      <c r="V17" s="196"/>
      <c r="W17" s="196"/>
      <c r="X17" s="196"/>
    </row>
    <row r="18" spans="1:24" ht="12.75" customHeight="1" x14ac:dyDescent="0.35">
      <c r="A18" s="254" t="s">
        <v>1498</v>
      </c>
      <c r="B18" s="294"/>
      <c r="C18" s="1637">
        <v>1435383</v>
      </c>
      <c r="D18" s="1637">
        <v>576982</v>
      </c>
      <c r="E18" s="1646">
        <v>373664</v>
      </c>
      <c r="F18" s="2526">
        <v>382025.39919999999</v>
      </c>
      <c r="G18" s="2605">
        <v>533049</v>
      </c>
      <c r="H18" s="2605">
        <v>533049</v>
      </c>
      <c r="I18" s="2605">
        <v>533049</v>
      </c>
      <c r="J18" s="1637">
        <v>586000</v>
      </c>
      <c r="K18" s="1638">
        <v>592000</v>
      </c>
      <c r="L18" s="2605">
        <v>603000</v>
      </c>
      <c r="M18" s="195"/>
      <c r="N18" s="196"/>
      <c r="O18" s="196"/>
      <c r="P18" s="196"/>
      <c r="Q18" s="196"/>
      <c r="R18" s="196"/>
      <c r="S18" s="196"/>
      <c r="T18" s="196"/>
      <c r="U18" s="196"/>
      <c r="V18" s="196"/>
      <c r="W18" s="196"/>
      <c r="X18" s="196"/>
    </row>
    <row r="19" spans="1:24" ht="12.75" customHeight="1" x14ac:dyDescent="0.35">
      <c r="A19" s="250" t="s">
        <v>35</v>
      </c>
      <c r="B19" s="293"/>
      <c r="C19" s="1637">
        <v>355033160</v>
      </c>
      <c r="D19" s="1637">
        <v>385496359</v>
      </c>
      <c r="E19" s="1646">
        <v>500668971</v>
      </c>
      <c r="F19" s="2526">
        <v>365204000</v>
      </c>
      <c r="G19" s="2605">
        <v>422369000</v>
      </c>
      <c r="H19" s="2605">
        <v>422369000</v>
      </c>
      <c r="I19" s="2605">
        <f>422169549+199000</f>
        <v>422368549</v>
      </c>
      <c r="J19" s="1614">
        <v>652058595</v>
      </c>
      <c r="K19" s="1634">
        <v>589871000</v>
      </c>
      <c r="L19" s="2605">
        <v>655040000</v>
      </c>
      <c r="M19" s="208"/>
      <c r="N19" s="196"/>
      <c r="O19" s="196"/>
      <c r="P19" s="196"/>
      <c r="Q19" s="196"/>
      <c r="R19" s="196"/>
      <c r="S19" s="196"/>
      <c r="T19" s="196"/>
      <c r="U19" s="196"/>
      <c r="V19" s="196"/>
      <c r="W19" s="196"/>
      <c r="X19" s="196"/>
    </row>
    <row r="20" spans="1:24" ht="12.75" customHeight="1" x14ac:dyDescent="0.25">
      <c r="A20" s="250" t="s">
        <v>1550</v>
      </c>
      <c r="B20" s="293">
        <v>2</v>
      </c>
      <c r="C20" s="207">
        <f>'SA1'!C45</f>
        <v>568994200</v>
      </c>
      <c r="D20" s="207">
        <f>'SA1'!D45</f>
        <v>516979847</v>
      </c>
      <c r="E20" s="204">
        <f>'SA1'!E45</f>
        <v>65367766</v>
      </c>
      <c r="F20" s="205">
        <f>'SA1'!F45</f>
        <v>49784828.712799996</v>
      </c>
      <c r="G20" s="203">
        <f>'SA1'!G45</f>
        <v>88689000</v>
      </c>
      <c r="H20" s="204">
        <f>'SA1'!H45</f>
        <v>88689000</v>
      </c>
      <c r="I20" s="204">
        <f>'SA1'!I45</f>
        <v>88689000</v>
      </c>
      <c r="J20" s="2527">
        <f>'SA1'!J45</f>
        <v>48011197</v>
      </c>
      <c r="K20" s="203">
        <f>'SA1'!K45</f>
        <v>49222468</v>
      </c>
      <c r="L20" s="204">
        <f>'SA1'!L45</f>
        <v>48824999</v>
      </c>
      <c r="M20" s="208"/>
      <c r="N20" s="196"/>
      <c r="O20" s="196"/>
      <c r="P20" s="196"/>
      <c r="Q20" s="196"/>
      <c r="R20" s="196"/>
      <c r="S20" s="196"/>
      <c r="T20" s="196"/>
      <c r="U20" s="196"/>
      <c r="V20" s="196"/>
      <c r="W20" s="196"/>
      <c r="X20" s="196"/>
    </row>
    <row r="21" spans="1:24" ht="12.75" customHeight="1" x14ac:dyDescent="0.25">
      <c r="A21" s="250" t="s">
        <v>474</v>
      </c>
      <c r="B21" s="293"/>
      <c r="C21" s="1637"/>
      <c r="D21" s="1614"/>
      <c r="E21" s="1634"/>
      <c r="F21" s="1635"/>
      <c r="G21" s="1614"/>
      <c r="H21" s="1634"/>
      <c r="I21" s="1636"/>
      <c r="J21" s="1616"/>
      <c r="K21" s="1614"/>
      <c r="L21" s="1634"/>
      <c r="M21" s="208"/>
      <c r="N21" s="196"/>
      <c r="O21" s="196"/>
      <c r="P21" s="196"/>
      <c r="Q21" s="196"/>
      <c r="R21" s="196"/>
      <c r="S21" s="196"/>
      <c r="T21" s="196"/>
      <c r="U21" s="196"/>
      <c r="V21" s="196"/>
      <c r="W21" s="196"/>
      <c r="X21" s="196"/>
    </row>
    <row r="22" spans="1:24" ht="24" customHeight="1" x14ac:dyDescent="0.25">
      <c r="A22" s="1378" t="s">
        <v>1042</v>
      </c>
      <c r="B22" s="1379"/>
      <c r="C22" s="1380">
        <f t="shared" ref="C22:X22" si="0">SUM(C5:C21)</f>
        <v>2575835750</v>
      </c>
      <c r="D22" s="1380">
        <f t="shared" si="0"/>
        <v>2901980506</v>
      </c>
      <c r="E22" s="1381">
        <f t="shared" si="0"/>
        <v>2887563942</v>
      </c>
      <c r="F22" s="1382">
        <f t="shared" si="0"/>
        <v>2987790079.2277331</v>
      </c>
      <c r="G22" s="1380">
        <f t="shared" si="0"/>
        <v>3138031602</v>
      </c>
      <c r="H22" s="1381">
        <f t="shared" si="0"/>
        <v>3138031602</v>
      </c>
      <c r="I22" s="1382">
        <f t="shared" si="0"/>
        <v>3138031151</v>
      </c>
      <c r="J22" s="1383">
        <f t="shared" si="0"/>
        <v>3540414280</v>
      </c>
      <c r="K22" s="1380">
        <f t="shared" si="0"/>
        <v>3722549259</v>
      </c>
      <c r="L22" s="1381">
        <f t="shared" si="0"/>
        <v>4053497960.6061091</v>
      </c>
      <c r="M22" s="199">
        <f t="shared" si="0"/>
        <v>0</v>
      </c>
      <c r="N22" s="200">
        <f t="shared" si="0"/>
        <v>0</v>
      </c>
      <c r="O22" s="200">
        <f t="shared" si="0"/>
        <v>0</v>
      </c>
      <c r="P22" s="200">
        <f t="shared" si="0"/>
        <v>0</v>
      </c>
      <c r="Q22" s="200">
        <f t="shared" si="0"/>
        <v>0</v>
      </c>
      <c r="R22" s="200">
        <f t="shared" si="0"/>
        <v>0</v>
      </c>
      <c r="S22" s="200">
        <f t="shared" si="0"/>
        <v>0</v>
      </c>
      <c r="T22" s="200">
        <f t="shared" si="0"/>
        <v>0</v>
      </c>
      <c r="U22" s="200">
        <f t="shared" si="0"/>
        <v>0</v>
      </c>
      <c r="V22" s="200">
        <f t="shared" si="0"/>
        <v>0</v>
      </c>
      <c r="W22" s="200">
        <f t="shared" si="0"/>
        <v>0</v>
      </c>
      <c r="X22" s="200">
        <f t="shared" si="0"/>
        <v>0</v>
      </c>
    </row>
    <row r="23" spans="1:24" ht="5.15" customHeight="1" x14ac:dyDescent="0.25">
      <c r="A23" s="273"/>
      <c r="B23" s="293"/>
      <c r="C23" s="203"/>
      <c r="D23" s="203"/>
      <c r="E23" s="204"/>
      <c r="F23" s="205"/>
      <c r="G23" s="203"/>
      <c r="H23" s="204"/>
      <c r="I23" s="202"/>
      <c r="J23" s="206"/>
      <c r="K23" s="203"/>
      <c r="L23" s="204"/>
      <c r="M23" s="195"/>
      <c r="N23" s="196"/>
      <c r="O23" s="196"/>
      <c r="P23" s="196"/>
      <c r="Q23" s="196"/>
      <c r="R23" s="196"/>
      <c r="S23" s="196"/>
      <c r="T23" s="196"/>
      <c r="U23" s="196"/>
      <c r="V23" s="196"/>
      <c r="W23" s="196"/>
      <c r="X23" s="196"/>
    </row>
    <row r="24" spans="1:24" ht="11.25" customHeight="1" x14ac:dyDescent="0.25">
      <c r="A24" s="249" t="s">
        <v>1639</v>
      </c>
      <c r="B24" s="295"/>
      <c r="C24" s="203"/>
      <c r="D24" s="203"/>
      <c r="E24" s="204"/>
      <c r="F24" s="205"/>
      <c r="G24" s="203"/>
      <c r="H24" s="204"/>
      <c r="I24" s="202"/>
      <c r="J24" s="206"/>
      <c r="K24" s="203"/>
      <c r="L24" s="204"/>
      <c r="M24" s="195"/>
      <c r="N24" s="196"/>
      <c r="O24" s="196"/>
      <c r="P24" s="196"/>
      <c r="Q24" s="196"/>
      <c r="R24" s="196"/>
      <c r="S24" s="196"/>
      <c r="T24" s="196"/>
      <c r="U24" s="196"/>
      <c r="V24" s="196"/>
      <c r="W24" s="196"/>
      <c r="X24" s="196"/>
    </row>
    <row r="25" spans="1:24" ht="11.25" customHeight="1" x14ac:dyDescent="0.25">
      <c r="A25" s="254" t="s">
        <v>475</v>
      </c>
      <c r="B25" s="294">
        <v>2</v>
      </c>
      <c r="C25" s="203">
        <f>'SA1'!C63</f>
        <v>629032210</v>
      </c>
      <c r="D25" s="207">
        <f>'SA1'!D63</f>
        <v>636372680</v>
      </c>
      <c r="E25" s="204">
        <f>'SA1'!E63</f>
        <v>666197730</v>
      </c>
      <c r="F25" s="205">
        <f>'SA1'!F63</f>
        <v>713415314.12411785</v>
      </c>
      <c r="G25" s="203">
        <f>'SA1'!G63</f>
        <v>731928000</v>
      </c>
      <c r="H25" s="204">
        <f>'SA1'!H63</f>
        <v>731928000</v>
      </c>
      <c r="I25" s="202">
        <f>'SA1'!I63</f>
        <v>731928000</v>
      </c>
      <c r="J25" s="206">
        <f>'SA1'!J63</f>
        <v>770619607</v>
      </c>
      <c r="K25" s="203">
        <f>'SA1'!K63</f>
        <v>819227753</v>
      </c>
      <c r="L25" s="204">
        <f>'SA1'!L63</f>
        <v>861559522</v>
      </c>
      <c r="M25" s="195"/>
      <c r="N25" s="196"/>
      <c r="O25" s="196"/>
      <c r="P25" s="196"/>
      <c r="Q25" s="196"/>
      <c r="R25" s="196"/>
      <c r="S25" s="196"/>
      <c r="T25" s="196"/>
      <c r="U25" s="196"/>
      <c r="V25" s="196"/>
      <c r="W25" s="196"/>
      <c r="X25" s="196"/>
    </row>
    <row r="26" spans="1:24" ht="11.25" customHeight="1" x14ac:dyDescent="0.35">
      <c r="A26" s="254" t="s">
        <v>529</v>
      </c>
      <c r="B26" s="294"/>
      <c r="C26" s="1614">
        <f>19386445-314</f>
        <v>19386131</v>
      </c>
      <c r="D26" s="1614">
        <v>18417917</v>
      </c>
      <c r="E26" s="1634">
        <v>31426756</v>
      </c>
      <c r="F26" s="1635">
        <v>34000349</v>
      </c>
      <c r="G26" s="2606">
        <v>34001305</v>
      </c>
      <c r="H26" s="2606">
        <f>34000000-169</f>
        <v>33999831</v>
      </c>
      <c r="I26" s="2606">
        <v>34000000</v>
      </c>
      <c r="J26" s="1614">
        <v>36419001</v>
      </c>
      <c r="K26" s="1634">
        <v>38421710</v>
      </c>
      <c r="L26" s="1634">
        <v>40534551</v>
      </c>
      <c r="M26" s="195"/>
      <c r="N26" s="196"/>
      <c r="O26" s="196"/>
      <c r="P26" s="196"/>
      <c r="Q26" s="196"/>
      <c r="R26" s="196"/>
      <c r="S26" s="196"/>
      <c r="T26" s="196"/>
      <c r="U26" s="196"/>
      <c r="V26" s="196"/>
      <c r="W26" s="196"/>
      <c r="X26" s="196"/>
    </row>
    <row r="27" spans="1:24" ht="11.25" customHeight="1" x14ac:dyDescent="0.35">
      <c r="A27" s="254" t="s">
        <v>1457</v>
      </c>
      <c r="B27" s="294">
        <v>3</v>
      </c>
      <c r="C27" s="1614">
        <v>250539606</v>
      </c>
      <c r="D27" s="1614">
        <v>96001153</v>
      </c>
      <c r="E27" s="1634">
        <f>58209770-269</f>
        <v>58209501</v>
      </c>
      <c r="F27" s="1635">
        <v>250342423.10000002</v>
      </c>
      <c r="G27" s="2606">
        <v>250342423</v>
      </c>
      <c r="H27" s="2606">
        <v>250342423</v>
      </c>
      <c r="I27" s="2606">
        <v>250342423</v>
      </c>
      <c r="J27" s="1614">
        <v>137509745</v>
      </c>
      <c r="K27" s="1634">
        <v>154111256</v>
      </c>
      <c r="L27" s="1634">
        <v>158637375</v>
      </c>
      <c r="M27" s="195"/>
      <c r="N27" s="196"/>
      <c r="O27" s="196"/>
      <c r="P27" s="196"/>
      <c r="Q27" s="196"/>
      <c r="R27" s="196"/>
      <c r="S27" s="196"/>
      <c r="T27" s="196"/>
      <c r="U27" s="196"/>
      <c r="V27" s="196"/>
      <c r="W27" s="196"/>
      <c r="X27" s="196"/>
    </row>
    <row r="28" spans="1:24" ht="11.25" customHeight="1" x14ac:dyDescent="0.25">
      <c r="A28" s="254" t="s">
        <v>1487</v>
      </c>
      <c r="B28" s="294">
        <v>2</v>
      </c>
      <c r="C28" s="203">
        <f>'SA1'!C79</f>
        <v>124066562</v>
      </c>
      <c r="D28" s="207">
        <f>'SA1'!D79</f>
        <v>253513339</v>
      </c>
      <c r="E28" s="204">
        <f>'SA1'!E79</f>
        <v>273650196</v>
      </c>
      <c r="F28" s="205">
        <f>'SA1'!F79</f>
        <v>158000000</v>
      </c>
      <c r="G28" s="203">
        <f>'SA1'!G79</f>
        <v>158000000</v>
      </c>
      <c r="H28" s="204">
        <f>'SA1'!H79</f>
        <v>158000000</v>
      </c>
      <c r="I28" s="202">
        <f>'SA1'!I79</f>
        <v>158000000</v>
      </c>
      <c r="J28" s="206">
        <f>'SA1'!J79</f>
        <v>189600000</v>
      </c>
      <c r="K28" s="203">
        <f>'SA1'!K79</f>
        <v>227520000</v>
      </c>
      <c r="L28" s="204">
        <f>'SA1'!L79</f>
        <v>273024000</v>
      </c>
      <c r="M28" s="208"/>
      <c r="N28" s="209"/>
      <c r="O28" s="209"/>
      <c r="P28" s="209"/>
      <c r="Q28" s="209"/>
      <c r="R28" s="209"/>
      <c r="S28" s="209"/>
      <c r="T28" s="209"/>
      <c r="U28" s="209"/>
      <c r="V28" s="209"/>
      <c r="W28" s="209"/>
      <c r="X28" s="209"/>
    </row>
    <row r="29" spans="1:24" ht="11.25" customHeight="1" x14ac:dyDescent="0.35">
      <c r="A29" s="254" t="s">
        <v>1549</v>
      </c>
      <c r="B29" s="294"/>
      <c r="C29" s="1614">
        <v>75273070</v>
      </c>
      <c r="D29" s="1614">
        <v>71568061</v>
      </c>
      <c r="E29" s="1634">
        <f>71449049+685018-39510000</f>
        <v>32624067</v>
      </c>
      <c r="F29" s="1635">
        <v>77500000</v>
      </c>
      <c r="G29" s="2606">
        <v>70830675</v>
      </c>
      <c r="H29" s="2606">
        <v>70830675</v>
      </c>
      <c r="I29" s="2606">
        <v>70830675</v>
      </c>
      <c r="J29" s="1614">
        <v>64600000</v>
      </c>
      <c r="K29" s="1634">
        <v>59255486</v>
      </c>
      <c r="L29" s="1634">
        <v>54480000</v>
      </c>
      <c r="M29" s="195"/>
      <c r="N29" s="196"/>
      <c r="O29" s="196"/>
      <c r="P29" s="196"/>
      <c r="Q29" s="196"/>
      <c r="R29" s="196"/>
      <c r="S29" s="196"/>
      <c r="T29" s="196"/>
      <c r="U29" s="196"/>
      <c r="V29" s="196"/>
      <c r="W29" s="196"/>
      <c r="X29" s="196"/>
    </row>
    <row r="30" spans="1:24" ht="11.25" customHeight="1" x14ac:dyDescent="0.25">
      <c r="A30" s="254" t="s">
        <v>477</v>
      </c>
      <c r="B30" s="294">
        <v>2</v>
      </c>
      <c r="C30" s="203">
        <f>'SA1'!C84</f>
        <v>804979363</v>
      </c>
      <c r="D30" s="207">
        <f>'SA1'!D84</f>
        <v>994365930</v>
      </c>
      <c r="E30" s="204">
        <f>'SA1'!E84</f>
        <v>1217334860</v>
      </c>
      <c r="F30" s="205">
        <f>'SA1'!F84</f>
        <v>1382923468.4685013</v>
      </c>
      <c r="G30" s="203">
        <f>'SA1'!G84</f>
        <v>1406504012</v>
      </c>
      <c r="H30" s="204">
        <f>'SA1'!H84</f>
        <v>1406504012</v>
      </c>
      <c r="I30" s="202">
        <f>'SA1'!I84</f>
        <v>1406504012</v>
      </c>
      <c r="J30" s="206">
        <f>'SA1'!J84</f>
        <v>1520315021</v>
      </c>
      <c r="K30" s="203">
        <f>'SA1'!K84</f>
        <v>1650633544</v>
      </c>
      <c r="L30" s="204">
        <f>'SA1'!L84</f>
        <v>1795318200</v>
      </c>
      <c r="M30" s="195"/>
      <c r="N30" s="196"/>
      <c r="O30" s="196"/>
      <c r="P30" s="196"/>
      <c r="Q30" s="196"/>
      <c r="R30" s="196"/>
      <c r="S30" s="196"/>
      <c r="T30" s="196"/>
      <c r="U30" s="196"/>
      <c r="V30" s="196"/>
      <c r="W30" s="196"/>
      <c r="X30" s="196"/>
    </row>
    <row r="31" spans="1:24" ht="11.25" customHeight="1" x14ac:dyDescent="0.35">
      <c r="A31" s="254" t="s">
        <v>1517</v>
      </c>
      <c r="B31" s="294">
        <v>8</v>
      </c>
      <c r="C31" s="1637">
        <v>0</v>
      </c>
      <c r="D31" s="1637">
        <v>0</v>
      </c>
      <c r="E31" s="1638"/>
      <c r="F31" s="1639">
        <v>14154265</v>
      </c>
      <c r="G31" s="2606">
        <v>19045920</v>
      </c>
      <c r="H31" s="2606">
        <v>19045920</v>
      </c>
      <c r="I31" s="2606">
        <v>19045920</v>
      </c>
      <c r="J31" s="1637">
        <v>0</v>
      </c>
      <c r="K31" s="1638">
        <v>0</v>
      </c>
      <c r="L31" s="1638">
        <v>0</v>
      </c>
      <c r="M31" s="195"/>
      <c r="N31" s="196"/>
      <c r="O31" s="196"/>
      <c r="P31" s="196"/>
      <c r="Q31" s="196"/>
      <c r="R31" s="196"/>
      <c r="S31" s="196"/>
      <c r="T31" s="196"/>
      <c r="U31" s="196"/>
      <c r="V31" s="196"/>
      <c r="W31" s="196"/>
      <c r="X31" s="196"/>
    </row>
    <row r="32" spans="1:24" ht="11.25" customHeight="1" x14ac:dyDescent="0.25">
      <c r="A32" s="254" t="s">
        <v>478</v>
      </c>
      <c r="B32" s="294"/>
      <c r="C32" s="203">
        <f>'SA1'!C123</f>
        <v>0</v>
      </c>
      <c r="D32" s="207">
        <f>'SA1'!D123</f>
        <v>0</v>
      </c>
      <c r="E32" s="204">
        <f>'SA1'!E123</f>
        <v>67803247.519999996</v>
      </c>
      <c r="F32" s="205">
        <f>'SA1'!F123</f>
        <v>56948024</v>
      </c>
      <c r="G32" s="203">
        <f>'SA1'!G123</f>
        <v>65754471</v>
      </c>
      <c r="H32" s="204">
        <f>'SA1'!H123</f>
        <v>65754471</v>
      </c>
      <c r="I32" s="202">
        <f>'SA1'!I123</f>
        <v>65754471</v>
      </c>
      <c r="J32" s="206">
        <f>'SA1'!J123</f>
        <v>16791841</v>
      </c>
      <c r="K32" s="203">
        <f>'SA1'!K123</f>
        <v>17677809</v>
      </c>
      <c r="L32" s="204">
        <f>'SA1'!L123</f>
        <v>18555560</v>
      </c>
      <c r="M32" s="195"/>
      <c r="N32" s="196"/>
      <c r="O32" s="196"/>
      <c r="P32" s="196"/>
      <c r="Q32" s="196"/>
      <c r="R32" s="196"/>
      <c r="S32" s="196"/>
      <c r="T32" s="196"/>
      <c r="U32" s="196"/>
      <c r="V32" s="196"/>
      <c r="W32" s="196"/>
      <c r="X32" s="196"/>
    </row>
    <row r="33" spans="1:24" ht="11.25" customHeight="1" x14ac:dyDescent="0.25">
      <c r="A33" s="254" t="s">
        <v>787</v>
      </c>
      <c r="B33" s="294"/>
      <c r="C33" s="1063">
        <f>'SA1'!C89</f>
        <v>1710637</v>
      </c>
      <c r="D33" s="1063">
        <f>'SA1'!D89</f>
        <v>194735</v>
      </c>
      <c r="E33" s="1064">
        <f>'SA1'!E89</f>
        <v>4143827</v>
      </c>
      <c r="F33" s="1065">
        <f>'SA1'!F89</f>
        <v>4500000</v>
      </c>
      <c r="G33" s="1063">
        <f>'SA1'!G89</f>
        <v>4500000</v>
      </c>
      <c r="H33" s="1064">
        <f>'SA1'!H89</f>
        <v>4500000</v>
      </c>
      <c r="I33" s="1066">
        <f>'SA1'!I89</f>
        <v>4500000</v>
      </c>
      <c r="J33" s="1067">
        <f>'SA1'!J89</f>
        <v>5027304</v>
      </c>
      <c r="K33" s="1063">
        <f>'SA1'!K89</f>
        <v>5273870</v>
      </c>
      <c r="L33" s="1064">
        <f>'SA1'!L89</f>
        <v>5562739</v>
      </c>
      <c r="M33" s="195"/>
      <c r="N33" s="196"/>
      <c r="O33" s="196"/>
      <c r="P33" s="196"/>
      <c r="Q33" s="196"/>
      <c r="R33" s="196"/>
      <c r="S33" s="196"/>
      <c r="T33" s="196"/>
      <c r="U33" s="196"/>
      <c r="V33" s="196"/>
      <c r="W33" s="196"/>
      <c r="X33" s="196"/>
    </row>
    <row r="34" spans="1:24" ht="11.25" customHeight="1" x14ac:dyDescent="0.25">
      <c r="A34" s="254" t="s">
        <v>955</v>
      </c>
      <c r="B34" s="294" t="s">
        <v>651</v>
      </c>
      <c r="C34" s="203">
        <f>'SA1'!C153</f>
        <v>899913504</v>
      </c>
      <c r="D34" s="207">
        <f>'SA1'!D153</f>
        <v>699781502</v>
      </c>
      <c r="E34" s="204">
        <f>'SA1'!E153</f>
        <v>302646849.03000003</v>
      </c>
      <c r="F34" s="205">
        <f>'SA1'!F153</f>
        <v>290862442</v>
      </c>
      <c r="G34" s="203">
        <f>'SA1'!G153</f>
        <v>388333762</v>
      </c>
      <c r="H34" s="204">
        <f>'SA1'!H153</f>
        <v>388333762</v>
      </c>
      <c r="I34" s="202">
        <f>'SA1'!I153</f>
        <v>388333762</v>
      </c>
      <c r="J34" s="206">
        <f>'SA1'!J153</f>
        <v>732945942</v>
      </c>
      <c r="K34" s="203">
        <f>'SA1'!K153</f>
        <v>685870927</v>
      </c>
      <c r="L34" s="204">
        <f>'SA1'!L153</f>
        <v>795825247</v>
      </c>
      <c r="M34" s="195"/>
      <c r="N34" s="196"/>
      <c r="O34" s="196"/>
      <c r="P34" s="196"/>
      <c r="Q34" s="196"/>
      <c r="R34" s="196"/>
      <c r="S34" s="196"/>
      <c r="T34" s="196"/>
      <c r="U34" s="196"/>
      <c r="V34" s="196"/>
      <c r="W34" s="196"/>
      <c r="X34" s="196"/>
    </row>
    <row r="35" spans="1:24" ht="11.25" customHeight="1" x14ac:dyDescent="0.25">
      <c r="A35" s="250" t="s">
        <v>403</v>
      </c>
      <c r="B35" s="293"/>
      <c r="C35" s="1637">
        <v>2199099</v>
      </c>
      <c r="D35" s="1637">
        <f>241233000-63559000-140688000</f>
        <v>36986000</v>
      </c>
      <c r="E35" s="1634">
        <f>-940864</f>
        <v>-940864</v>
      </c>
      <c r="F35" s="1639">
        <v>0</v>
      </c>
      <c r="G35" s="1637">
        <v>0</v>
      </c>
      <c r="H35" s="1634">
        <v>0</v>
      </c>
      <c r="I35" s="1636">
        <v>0</v>
      </c>
      <c r="J35" s="1641">
        <v>0</v>
      </c>
      <c r="K35" s="1637">
        <v>0</v>
      </c>
      <c r="L35" s="1638">
        <v>0</v>
      </c>
      <c r="M35" s="195"/>
      <c r="N35" s="196"/>
      <c r="O35" s="196"/>
      <c r="P35" s="196"/>
      <c r="Q35" s="196"/>
      <c r="R35" s="196"/>
      <c r="S35" s="196"/>
      <c r="T35" s="196"/>
      <c r="U35" s="196"/>
      <c r="V35" s="196"/>
      <c r="W35" s="196"/>
      <c r="X35" s="196"/>
    </row>
    <row r="36" spans="1:24" ht="11.25" customHeight="1" x14ac:dyDescent="0.25">
      <c r="A36" s="1384" t="s">
        <v>1640</v>
      </c>
      <c r="B36" s="1379"/>
      <c r="C36" s="1380">
        <f t="shared" ref="C36:L36" si="1">SUM(C25:C35)</f>
        <v>2807100182</v>
      </c>
      <c r="D36" s="1380">
        <f>SUM(D25:D35)</f>
        <v>2807201317</v>
      </c>
      <c r="E36" s="1381">
        <f t="shared" si="1"/>
        <v>2653096169.5500002</v>
      </c>
      <c r="F36" s="1382">
        <f t="shared" si="1"/>
        <v>2982646285.6926193</v>
      </c>
      <c r="G36" s="1380">
        <f t="shared" si="1"/>
        <v>3129240568</v>
      </c>
      <c r="H36" s="1381">
        <f t="shared" si="1"/>
        <v>3129239094</v>
      </c>
      <c r="I36" s="1382">
        <f t="shared" si="1"/>
        <v>3129239263</v>
      </c>
      <c r="J36" s="1383">
        <f t="shared" si="1"/>
        <v>3473828461</v>
      </c>
      <c r="K36" s="1380">
        <f t="shared" si="1"/>
        <v>3657992355</v>
      </c>
      <c r="L36" s="1381">
        <f t="shared" si="1"/>
        <v>4003497194</v>
      </c>
      <c r="M36" s="199">
        <f t="shared" ref="M36:X36" si="2">SUM(M25:M35)</f>
        <v>0</v>
      </c>
      <c r="N36" s="200">
        <f t="shared" si="2"/>
        <v>0</v>
      </c>
      <c r="O36" s="200">
        <f t="shared" si="2"/>
        <v>0</v>
      </c>
      <c r="P36" s="200">
        <f t="shared" si="2"/>
        <v>0</v>
      </c>
      <c r="Q36" s="200">
        <f t="shared" si="2"/>
        <v>0</v>
      </c>
      <c r="R36" s="200">
        <f t="shared" si="2"/>
        <v>0</v>
      </c>
      <c r="S36" s="200">
        <f t="shared" si="2"/>
        <v>0</v>
      </c>
      <c r="T36" s="200">
        <f t="shared" si="2"/>
        <v>0</v>
      </c>
      <c r="U36" s="200">
        <f t="shared" si="2"/>
        <v>0</v>
      </c>
      <c r="V36" s="200">
        <f t="shared" si="2"/>
        <v>0</v>
      </c>
      <c r="W36" s="200">
        <f t="shared" si="2"/>
        <v>0</v>
      </c>
      <c r="X36" s="200">
        <f t="shared" si="2"/>
        <v>0</v>
      </c>
    </row>
    <row r="37" spans="1:24" ht="5.15" customHeight="1" x14ac:dyDescent="0.25">
      <c r="A37" s="273"/>
      <c r="B37" s="293"/>
      <c r="C37" s="213"/>
      <c r="D37" s="213"/>
      <c r="E37" s="214"/>
      <c r="F37" s="215"/>
      <c r="G37" s="213"/>
      <c r="H37" s="214"/>
      <c r="I37" s="215"/>
      <c r="J37" s="216"/>
      <c r="K37" s="213"/>
      <c r="L37" s="214"/>
      <c r="M37" s="222"/>
      <c r="N37" s="223"/>
      <c r="O37" s="223"/>
      <c r="P37" s="223"/>
      <c r="Q37" s="223"/>
      <c r="R37" s="223"/>
      <c r="S37" s="223"/>
      <c r="T37" s="223"/>
      <c r="U37" s="223"/>
      <c r="V37" s="223"/>
      <c r="W37" s="223"/>
      <c r="X37" s="223"/>
    </row>
    <row r="38" spans="1:24" ht="12" customHeight="1" x14ac:dyDescent="0.25">
      <c r="A38" s="265" t="s">
        <v>1710</v>
      </c>
      <c r="B38" s="293"/>
      <c r="C38" s="218">
        <f t="shared" ref="C38:L38" si="3">C22-C36</f>
        <v>-231264432</v>
      </c>
      <c r="D38" s="218">
        <f t="shared" si="3"/>
        <v>94779189</v>
      </c>
      <c r="E38" s="219">
        <f t="shared" si="3"/>
        <v>234467772.44999981</v>
      </c>
      <c r="F38" s="220">
        <f t="shared" si="3"/>
        <v>5143793.5351138115</v>
      </c>
      <c r="G38" s="218">
        <f t="shared" si="3"/>
        <v>8791034</v>
      </c>
      <c r="H38" s="219">
        <f t="shared" si="3"/>
        <v>8792508</v>
      </c>
      <c r="I38" s="220">
        <f t="shared" si="3"/>
        <v>8791888</v>
      </c>
      <c r="J38" s="221">
        <f t="shared" si="3"/>
        <v>66585819</v>
      </c>
      <c r="K38" s="218">
        <f t="shared" si="3"/>
        <v>64556904</v>
      </c>
      <c r="L38" s="219">
        <f t="shared" si="3"/>
        <v>50000766.606109142</v>
      </c>
      <c r="M38" s="222">
        <f t="shared" ref="M38:X38" si="4">M22+M36</f>
        <v>0</v>
      </c>
      <c r="N38" s="223">
        <f t="shared" si="4"/>
        <v>0</v>
      </c>
      <c r="O38" s="223">
        <f t="shared" si="4"/>
        <v>0</v>
      </c>
      <c r="P38" s="223">
        <f t="shared" si="4"/>
        <v>0</v>
      </c>
      <c r="Q38" s="223">
        <f t="shared" si="4"/>
        <v>0</v>
      </c>
      <c r="R38" s="223">
        <f t="shared" si="4"/>
        <v>0</v>
      </c>
      <c r="S38" s="223">
        <f t="shared" si="4"/>
        <v>0</v>
      </c>
      <c r="T38" s="223">
        <f t="shared" si="4"/>
        <v>0</v>
      </c>
      <c r="U38" s="223">
        <f t="shared" si="4"/>
        <v>0</v>
      </c>
      <c r="V38" s="223">
        <f t="shared" si="4"/>
        <v>0</v>
      </c>
      <c r="W38" s="223">
        <f t="shared" si="4"/>
        <v>0</v>
      </c>
      <c r="X38" s="223">
        <f t="shared" si="4"/>
        <v>0</v>
      </c>
    </row>
    <row r="39" spans="1:24" ht="11.25" customHeight="1" x14ac:dyDescent="0.25">
      <c r="A39" s="250" t="s">
        <v>1344</v>
      </c>
      <c r="B39" s="293"/>
      <c r="C39" s="1614"/>
      <c r="D39" s="1614"/>
      <c r="E39" s="1634"/>
      <c r="F39" s="1635"/>
      <c r="G39" s="1053"/>
      <c r="H39" s="1053"/>
      <c r="I39" s="1053"/>
      <c r="J39" s="1614"/>
      <c r="K39" s="1634"/>
      <c r="L39" s="1634"/>
      <c r="M39" s="195"/>
      <c r="N39" s="196"/>
      <c r="O39" s="196"/>
      <c r="P39" s="196"/>
      <c r="Q39" s="196"/>
      <c r="R39" s="196"/>
      <c r="S39" s="196"/>
      <c r="T39" s="196"/>
      <c r="U39" s="196"/>
      <c r="V39" s="196"/>
      <c r="W39" s="196"/>
      <c r="X39" s="196"/>
    </row>
    <row r="40" spans="1:24" ht="11.25" customHeight="1" x14ac:dyDescent="0.25">
      <c r="A40" s="250" t="s">
        <v>817</v>
      </c>
      <c r="B40" s="293">
        <v>6</v>
      </c>
      <c r="C40" s="203">
        <f>'SA1'!C72</f>
        <v>0</v>
      </c>
      <c r="D40" s="207">
        <f>'SA1'!D72</f>
        <v>0</v>
      </c>
      <c r="E40" s="204">
        <f>'SA1'!E72</f>
        <v>0</v>
      </c>
      <c r="F40" s="205">
        <f>'SA1'!F72</f>
        <v>0</v>
      </c>
      <c r="G40" s="203">
        <f>'SA1'!G72</f>
        <v>0</v>
      </c>
      <c r="H40" s="204">
        <f>'SA1'!H72</f>
        <v>0</v>
      </c>
      <c r="I40" s="202">
        <f>'SA1'!I72</f>
        <v>0</v>
      </c>
      <c r="J40" s="206">
        <f>'SA1'!J72</f>
        <v>0</v>
      </c>
      <c r="K40" s="203">
        <f>'SA1'!K72</f>
        <v>0</v>
      </c>
      <c r="L40" s="204">
        <f>'SA1'!L72</f>
        <v>0</v>
      </c>
      <c r="M40" s="195"/>
      <c r="N40" s="196"/>
      <c r="O40" s="196"/>
      <c r="P40" s="196"/>
      <c r="Q40" s="196"/>
      <c r="R40" s="196"/>
      <c r="S40" s="196"/>
      <c r="T40" s="196"/>
      <c r="U40" s="196"/>
      <c r="V40" s="196"/>
      <c r="W40" s="196"/>
      <c r="X40" s="196"/>
    </row>
    <row r="41" spans="1:24" ht="11.25" customHeight="1" x14ac:dyDescent="0.25">
      <c r="A41" s="250" t="s">
        <v>39</v>
      </c>
      <c r="B41" s="293"/>
      <c r="C41" s="1637"/>
      <c r="D41" s="1614"/>
      <c r="E41" s="1634"/>
      <c r="F41" s="1642"/>
      <c r="G41" s="1643"/>
      <c r="H41" s="1644"/>
      <c r="I41" s="1636"/>
      <c r="J41" s="1645"/>
      <c r="K41" s="1643"/>
      <c r="L41" s="1644"/>
      <c r="M41" s="195"/>
      <c r="N41" s="196"/>
      <c r="O41" s="196"/>
      <c r="P41" s="196"/>
      <c r="Q41" s="196"/>
      <c r="R41" s="196"/>
      <c r="S41" s="196"/>
      <c r="T41" s="196"/>
      <c r="U41" s="196"/>
      <c r="V41" s="196"/>
      <c r="W41" s="196"/>
      <c r="X41" s="196"/>
    </row>
    <row r="42" spans="1:24" ht="21" x14ac:dyDescent="0.25">
      <c r="A42" s="297" t="s">
        <v>435</v>
      </c>
      <c r="B42" s="293"/>
      <c r="C42" s="298">
        <f t="shared" ref="C42:L42" si="5">SUM(C38:C41)</f>
        <v>-231264432</v>
      </c>
      <c r="D42" s="298">
        <f t="shared" si="5"/>
        <v>94779189</v>
      </c>
      <c r="E42" s="300">
        <f t="shared" si="5"/>
        <v>234467772.44999981</v>
      </c>
      <c r="F42" s="301">
        <f t="shared" si="5"/>
        <v>5143793.5351138115</v>
      </c>
      <c r="G42" s="298">
        <f t="shared" si="5"/>
        <v>8791034</v>
      </c>
      <c r="H42" s="300">
        <f t="shared" si="5"/>
        <v>8792508</v>
      </c>
      <c r="I42" s="301">
        <f t="shared" si="5"/>
        <v>8791888</v>
      </c>
      <c r="J42" s="302">
        <f t="shared" si="5"/>
        <v>66585819</v>
      </c>
      <c r="K42" s="298">
        <f t="shared" si="5"/>
        <v>64556904</v>
      </c>
      <c r="L42" s="300">
        <f t="shared" si="5"/>
        <v>50000766.606109142</v>
      </c>
      <c r="M42" s="195"/>
      <c r="N42" s="196"/>
      <c r="O42" s="196"/>
      <c r="P42" s="196"/>
      <c r="Q42" s="196"/>
      <c r="R42" s="196"/>
      <c r="S42" s="196"/>
      <c r="T42" s="196"/>
      <c r="U42" s="196"/>
      <c r="V42" s="196"/>
      <c r="W42" s="196"/>
      <c r="X42" s="196"/>
    </row>
    <row r="43" spans="1:24" ht="11.25" customHeight="1" x14ac:dyDescent="0.25">
      <c r="A43" s="250" t="s">
        <v>1046</v>
      </c>
      <c r="B43" s="293"/>
      <c r="C43" s="1637"/>
      <c r="D43" s="1637"/>
      <c r="E43" s="1638"/>
      <c r="F43" s="1639"/>
      <c r="G43" s="1637"/>
      <c r="H43" s="1638"/>
      <c r="I43" s="1639"/>
      <c r="J43" s="1641"/>
      <c r="K43" s="1637"/>
      <c r="L43" s="1638"/>
      <c r="M43" s="195"/>
      <c r="N43" s="196"/>
      <c r="O43" s="196"/>
      <c r="P43" s="196"/>
      <c r="Q43" s="196"/>
      <c r="R43" s="196"/>
      <c r="S43" s="196"/>
      <c r="T43" s="196"/>
      <c r="U43" s="196"/>
      <c r="V43" s="196"/>
      <c r="W43" s="196"/>
      <c r="X43" s="196"/>
    </row>
    <row r="44" spans="1:24" ht="11.25" customHeight="1" x14ac:dyDescent="0.25">
      <c r="A44" s="303" t="s">
        <v>1047</v>
      </c>
      <c r="B44" s="293"/>
      <c r="C44" s="213">
        <f t="shared" ref="C44:L44" si="6">C42-C43</f>
        <v>-231264432</v>
      </c>
      <c r="D44" s="213">
        <f t="shared" si="6"/>
        <v>94779189</v>
      </c>
      <c r="E44" s="214">
        <f t="shared" si="6"/>
        <v>234467772.44999981</v>
      </c>
      <c r="F44" s="215">
        <f t="shared" si="6"/>
        <v>5143793.5351138115</v>
      </c>
      <c r="G44" s="213">
        <f t="shared" si="6"/>
        <v>8791034</v>
      </c>
      <c r="H44" s="214">
        <f t="shared" si="6"/>
        <v>8792508</v>
      </c>
      <c r="I44" s="215">
        <f t="shared" si="6"/>
        <v>8791888</v>
      </c>
      <c r="J44" s="216">
        <f t="shared" si="6"/>
        <v>66585819</v>
      </c>
      <c r="K44" s="213">
        <f t="shared" si="6"/>
        <v>64556904</v>
      </c>
      <c r="L44" s="214">
        <f t="shared" si="6"/>
        <v>50000766.606109142</v>
      </c>
      <c r="M44" s="195"/>
      <c r="N44" s="196"/>
      <c r="O44" s="196"/>
      <c r="P44" s="196"/>
      <c r="Q44" s="196"/>
      <c r="R44" s="196"/>
      <c r="S44" s="196"/>
      <c r="T44" s="196"/>
      <c r="U44" s="196"/>
      <c r="V44" s="196"/>
      <c r="W44" s="196"/>
      <c r="X44" s="196"/>
    </row>
    <row r="45" spans="1:24" ht="11.25" customHeight="1" x14ac:dyDescent="0.25">
      <c r="A45" s="250" t="s">
        <v>1114</v>
      </c>
      <c r="B45" s="293"/>
      <c r="C45" s="1637"/>
      <c r="D45" s="1637"/>
      <c r="E45" s="1638"/>
      <c r="F45" s="1639"/>
      <c r="G45" s="1637"/>
      <c r="H45" s="1638"/>
      <c r="I45" s="1639"/>
      <c r="J45" s="1641"/>
      <c r="K45" s="1637"/>
      <c r="L45" s="1638"/>
      <c r="M45" s="195"/>
      <c r="N45" s="196"/>
      <c r="O45" s="196"/>
      <c r="P45" s="196"/>
      <c r="Q45" s="196"/>
      <c r="R45" s="196"/>
      <c r="S45" s="196"/>
      <c r="T45" s="196"/>
      <c r="U45" s="196"/>
      <c r="V45" s="196"/>
      <c r="W45" s="196"/>
      <c r="X45" s="196"/>
    </row>
    <row r="46" spans="1:24" x14ac:dyDescent="0.25">
      <c r="A46" s="303" t="s">
        <v>190</v>
      </c>
      <c r="B46" s="293"/>
      <c r="C46" s="298">
        <f t="shared" ref="C46:L46" si="7">SUM(C44:C45)</f>
        <v>-231264432</v>
      </c>
      <c r="D46" s="298">
        <f t="shared" si="7"/>
        <v>94779189</v>
      </c>
      <c r="E46" s="300">
        <f t="shared" si="7"/>
        <v>234467772.44999981</v>
      </c>
      <c r="F46" s="301">
        <f t="shared" si="7"/>
        <v>5143793.5351138115</v>
      </c>
      <c r="G46" s="298">
        <f t="shared" si="7"/>
        <v>8791034</v>
      </c>
      <c r="H46" s="300">
        <f t="shared" si="7"/>
        <v>8792508</v>
      </c>
      <c r="I46" s="301">
        <f t="shared" si="7"/>
        <v>8791888</v>
      </c>
      <c r="J46" s="302">
        <f t="shared" si="7"/>
        <v>66585819</v>
      </c>
      <c r="K46" s="298">
        <f t="shared" si="7"/>
        <v>64556904</v>
      </c>
      <c r="L46" s="300">
        <f t="shared" si="7"/>
        <v>50000766.606109142</v>
      </c>
      <c r="M46" s="195"/>
      <c r="N46" s="196"/>
      <c r="O46" s="196"/>
      <c r="P46" s="196"/>
      <c r="Q46" s="196"/>
      <c r="R46" s="196"/>
      <c r="S46" s="196"/>
      <c r="T46" s="196"/>
      <c r="U46" s="196"/>
      <c r="V46" s="196"/>
      <c r="W46" s="196"/>
      <c r="X46" s="196"/>
    </row>
    <row r="47" spans="1:24" x14ac:dyDescent="0.25">
      <c r="A47" s="304" t="s">
        <v>458</v>
      </c>
      <c r="B47" s="293">
        <v>7</v>
      </c>
      <c r="C47" s="1637"/>
      <c r="D47" s="1637"/>
      <c r="E47" s="1638"/>
      <c r="F47" s="1635"/>
      <c r="G47" s="1614"/>
      <c r="H47" s="1634"/>
      <c r="I47" s="1635"/>
      <c r="J47" s="1616"/>
      <c r="K47" s="1614"/>
      <c r="L47" s="1634"/>
      <c r="M47" s="195"/>
      <c r="N47" s="196"/>
      <c r="O47" s="196"/>
      <c r="P47" s="196"/>
      <c r="Q47" s="196"/>
      <c r="R47" s="196"/>
      <c r="S47" s="196"/>
      <c r="T47" s="196"/>
      <c r="U47" s="196"/>
      <c r="V47" s="196"/>
      <c r="W47" s="196"/>
      <c r="X47" s="196"/>
    </row>
    <row r="48" spans="1:24" ht="11" thickBot="1" x14ac:dyDescent="0.3">
      <c r="A48" s="305" t="str">
        <f>result</f>
        <v>Surplus/(Deficit) for the year</v>
      </c>
      <c r="B48" s="306"/>
      <c r="C48" s="227">
        <f t="shared" ref="C48:L48" si="8">SUM(C46:C47)</f>
        <v>-231264432</v>
      </c>
      <c r="D48" s="230">
        <f t="shared" si="8"/>
        <v>94779189</v>
      </c>
      <c r="E48" s="352">
        <f t="shared" si="8"/>
        <v>234467772.44999981</v>
      </c>
      <c r="F48" s="353">
        <f t="shared" si="8"/>
        <v>5143793.5351138115</v>
      </c>
      <c r="G48" s="230">
        <f t="shared" si="8"/>
        <v>8791034</v>
      </c>
      <c r="H48" s="228">
        <f t="shared" si="8"/>
        <v>8792508</v>
      </c>
      <c r="I48" s="229">
        <f t="shared" si="8"/>
        <v>8791888</v>
      </c>
      <c r="J48" s="232">
        <f t="shared" si="8"/>
        <v>66585819</v>
      </c>
      <c r="K48" s="230">
        <f t="shared" si="8"/>
        <v>64556904</v>
      </c>
      <c r="L48" s="228">
        <f t="shared" si="8"/>
        <v>50000766.606109142</v>
      </c>
      <c r="M48" s="233">
        <f t="shared" ref="M48:X48" si="9">M26+M47</f>
        <v>0</v>
      </c>
      <c r="N48" s="234">
        <f t="shared" si="9"/>
        <v>0</v>
      </c>
      <c r="O48" s="234">
        <f t="shared" si="9"/>
        <v>0</v>
      </c>
      <c r="P48" s="234">
        <f t="shared" si="9"/>
        <v>0</v>
      </c>
      <c r="Q48" s="234">
        <f t="shared" si="9"/>
        <v>0</v>
      </c>
      <c r="R48" s="234">
        <f t="shared" si="9"/>
        <v>0</v>
      </c>
      <c r="S48" s="234">
        <f t="shared" si="9"/>
        <v>0</v>
      </c>
      <c r="T48" s="234">
        <f t="shared" si="9"/>
        <v>0</v>
      </c>
      <c r="U48" s="234">
        <f t="shared" si="9"/>
        <v>0</v>
      </c>
      <c r="V48" s="234">
        <f t="shared" si="9"/>
        <v>0</v>
      </c>
      <c r="W48" s="234">
        <f t="shared" si="9"/>
        <v>0</v>
      </c>
      <c r="X48" s="234">
        <f t="shared" si="9"/>
        <v>0</v>
      </c>
    </row>
    <row r="49" spans="1:24" ht="11" thickTop="1" x14ac:dyDescent="0.25">
      <c r="A49" s="1261" t="str">
        <f>head27a</f>
        <v>References</v>
      </c>
      <c r="B49" s="1233"/>
      <c r="C49" s="1237"/>
      <c r="D49" s="1237"/>
      <c r="E49" s="1237"/>
      <c r="F49" s="1237"/>
      <c r="G49" s="1237"/>
      <c r="H49" s="1237"/>
      <c r="I49" s="1237"/>
      <c r="J49" s="1237"/>
      <c r="K49" s="1237"/>
      <c r="L49" s="1237"/>
      <c r="M49" s="241"/>
      <c r="N49" s="241"/>
      <c r="O49" s="241"/>
      <c r="P49" s="241"/>
      <c r="Q49" s="241"/>
      <c r="R49" s="241"/>
      <c r="S49" s="241"/>
      <c r="T49" s="241"/>
      <c r="U49" s="241"/>
      <c r="V49" s="241"/>
      <c r="W49" s="241"/>
      <c r="X49" s="241"/>
    </row>
    <row r="50" spans="1:24" ht="11.25" customHeight="1" x14ac:dyDescent="0.25">
      <c r="A50" s="287" t="s">
        <v>191</v>
      </c>
      <c r="B50" s="1233"/>
      <c r="C50" s="1236"/>
      <c r="D50" s="1236"/>
      <c r="E50" s="1237"/>
      <c r="F50" s="1237"/>
      <c r="G50" s="1237"/>
      <c r="H50" s="1237"/>
      <c r="I50" s="1237"/>
      <c r="J50" s="1237"/>
      <c r="K50" s="1237"/>
      <c r="L50" s="1237"/>
    </row>
    <row r="51" spans="1:24" ht="11.25" customHeight="1" x14ac:dyDescent="0.25">
      <c r="A51" s="1262" t="s">
        <v>788</v>
      </c>
      <c r="B51" s="1233"/>
      <c r="C51" s="1237"/>
      <c r="D51" s="1236"/>
      <c r="E51" s="1237"/>
      <c r="F51" s="1237"/>
      <c r="G51" s="1237"/>
      <c r="H51" s="1237"/>
      <c r="I51" s="1237"/>
      <c r="J51" s="1237"/>
      <c r="K51" s="1237"/>
      <c r="L51" s="1237"/>
    </row>
    <row r="52" spans="1:24" ht="11.25" customHeight="1" x14ac:dyDescent="0.25">
      <c r="A52" s="1262" t="s">
        <v>579</v>
      </c>
      <c r="B52" s="1233"/>
      <c r="C52" s="1237"/>
      <c r="D52" s="1236"/>
      <c r="E52" s="1237"/>
      <c r="F52" s="1237"/>
      <c r="G52" s="1237"/>
      <c r="H52" s="1237"/>
      <c r="I52" s="1237"/>
      <c r="J52" s="1237"/>
      <c r="K52" s="1237"/>
      <c r="L52" s="1237"/>
    </row>
    <row r="53" spans="1:24" ht="11.25" customHeight="1" x14ac:dyDescent="0.25">
      <c r="A53" s="1262" t="s">
        <v>580</v>
      </c>
      <c r="B53" s="1233"/>
      <c r="C53" s="1237"/>
      <c r="D53" s="1236"/>
      <c r="E53" s="1237"/>
      <c r="F53" s="1237"/>
      <c r="G53" s="1237"/>
      <c r="H53" s="1237"/>
      <c r="I53" s="1237"/>
      <c r="J53" s="1237"/>
      <c r="K53" s="1237"/>
      <c r="L53" s="1237"/>
    </row>
    <row r="54" spans="1:24" ht="11.25" customHeight="1" x14ac:dyDescent="0.25">
      <c r="A54" s="1262" t="s">
        <v>1256</v>
      </c>
      <c r="B54" s="1233"/>
      <c r="C54" s="1237"/>
      <c r="D54" s="1236"/>
      <c r="E54" s="1237"/>
      <c r="F54" s="1237"/>
      <c r="G54" s="1237"/>
      <c r="H54" s="1237"/>
      <c r="I54" s="1237"/>
      <c r="J54" s="1237"/>
      <c r="K54" s="1237"/>
      <c r="L54" s="1237"/>
    </row>
    <row r="55" spans="1:24" ht="11.25" customHeight="1" x14ac:dyDescent="0.25">
      <c r="A55" s="1262" t="s">
        <v>192</v>
      </c>
      <c r="B55" s="1233"/>
      <c r="C55" s="1237"/>
      <c r="D55" s="1236"/>
      <c r="E55" s="1237"/>
      <c r="F55" s="1237"/>
      <c r="G55" s="1237"/>
      <c r="H55" s="1237"/>
      <c r="I55" s="1237"/>
      <c r="J55" s="1237"/>
      <c r="K55" s="1237"/>
      <c r="L55" s="1237"/>
    </row>
    <row r="56" spans="1:24" ht="11.25" customHeight="1" x14ac:dyDescent="0.25">
      <c r="A56" s="1262" t="s">
        <v>1204</v>
      </c>
      <c r="B56" s="1233"/>
      <c r="C56" s="1237"/>
      <c r="D56" s="1236"/>
      <c r="E56" s="1237"/>
      <c r="F56" s="1237"/>
      <c r="G56" s="1237"/>
      <c r="H56" s="1237"/>
      <c r="I56" s="1237"/>
      <c r="J56" s="1237"/>
      <c r="K56" s="1237"/>
      <c r="L56" s="1237"/>
    </row>
    <row r="57" spans="1:24" ht="11.25" customHeight="1" x14ac:dyDescent="0.25">
      <c r="A57" s="1262" t="s">
        <v>904</v>
      </c>
      <c r="B57" s="1233"/>
      <c r="C57" s="1237"/>
      <c r="D57" s="1236"/>
      <c r="E57" s="1237"/>
      <c r="F57" s="1237"/>
      <c r="G57" s="1237"/>
      <c r="H57" s="1237"/>
      <c r="I57" s="1237"/>
      <c r="J57" s="1237"/>
      <c r="K57" s="1237"/>
      <c r="L57" s="1237"/>
    </row>
    <row r="58" spans="1:24" ht="11.25" customHeight="1" x14ac:dyDescent="0.25">
      <c r="A58" s="1263" t="s">
        <v>295</v>
      </c>
      <c r="B58" s="1193"/>
      <c r="C58" s="1240">
        <f>C46-'A3-FinPerf V'!C39</f>
        <v>-439</v>
      </c>
      <c r="D58" s="1240">
        <f>D46-'A3-FinPerf V'!D39</f>
        <v>482</v>
      </c>
      <c r="E58" s="1240">
        <f>E46-'A3-FinPerf V'!E39</f>
        <v>-185.55000019073486</v>
      </c>
      <c r="F58" s="1240">
        <f>F46-'A3-FinPerf V'!F39</f>
        <v>-829.32568597793579</v>
      </c>
      <c r="G58" s="1240">
        <f>G46-'A3-FinPerf V'!G39</f>
        <v>-1473.8607997894287</v>
      </c>
      <c r="H58" s="1240">
        <f>H46-'A3-FinPerf V'!H39</f>
        <v>0.13920021057128906</v>
      </c>
      <c r="I58" s="1240"/>
      <c r="J58" s="1240">
        <f>J46-'A3-FinPerf V'!I39</f>
        <v>-0.49173927307128906</v>
      </c>
      <c r="K58" s="1240">
        <f>K46-'A3-FinPerf V'!J39</f>
        <v>0.24296712875366211</v>
      </c>
      <c r="L58" s="1240">
        <f>L46-'A3-FinPerf V'!K39</f>
        <v>-3.7119865417480469E-2</v>
      </c>
    </row>
    <row r="59" spans="1:24" ht="11.25" customHeight="1" x14ac:dyDescent="0.25">
      <c r="A59" s="1239"/>
      <c r="B59" s="1193"/>
      <c r="C59" s="1240"/>
      <c r="D59" s="1240"/>
      <c r="E59" s="1240"/>
      <c r="F59" s="1240"/>
      <c r="G59" s="1240"/>
      <c r="H59" s="1240"/>
      <c r="I59" s="1240"/>
      <c r="J59" s="1240"/>
      <c r="K59" s="1240"/>
      <c r="L59" s="1240"/>
    </row>
    <row r="60" spans="1:24" ht="11.25" customHeight="1" x14ac:dyDescent="0.25">
      <c r="A60" s="1239" t="s">
        <v>8</v>
      </c>
      <c r="B60" s="1264"/>
      <c r="C60" s="1265">
        <f t="shared" ref="C60:L60" si="10">C22+SUM(C39:C41)</f>
        <v>2575835750</v>
      </c>
      <c r="D60" s="1265">
        <f t="shared" si="10"/>
        <v>2901980506</v>
      </c>
      <c r="E60" s="1265">
        <f t="shared" si="10"/>
        <v>2887563942</v>
      </c>
      <c r="F60" s="1265">
        <f t="shared" si="10"/>
        <v>2987790079.2277331</v>
      </c>
      <c r="G60" s="1265">
        <f t="shared" si="10"/>
        <v>3138031602</v>
      </c>
      <c r="H60" s="1265">
        <f t="shared" si="10"/>
        <v>3138031602</v>
      </c>
      <c r="I60" s="1265">
        <f t="shared" si="10"/>
        <v>3138031151</v>
      </c>
      <c r="J60" s="1265">
        <f t="shared" si="10"/>
        <v>3540414280</v>
      </c>
      <c r="K60" s="1265">
        <f t="shared" si="10"/>
        <v>3722549259</v>
      </c>
      <c r="L60" s="1265">
        <f t="shared" si="10"/>
        <v>4053497960.6061091</v>
      </c>
      <c r="M60" s="310"/>
    </row>
    <row r="61" spans="1:24" ht="11.25" customHeight="1" x14ac:dyDescent="0.25">
      <c r="A61" s="246"/>
      <c r="B61" s="246"/>
      <c r="C61" s="241"/>
      <c r="D61" s="241"/>
      <c r="E61" s="246"/>
      <c r="F61" s="246"/>
      <c r="G61" s="241"/>
      <c r="M61" s="310"/>
    </row>
    <row r="62" spans="1:24" ht="11.25" customHeight="1" x14ac:dyDescent="0.25">
      <c r="A62" s="246"/>
      <c r="B62" s="246"/>
      <c r="C62" s="241"/>
      <c r="D62" s="241"/>
      <c r="E62" s="246"/>
      <c r="F62" s="246"/>
      <c r="G62" s="241"/>
    </row>
    <row r="63" spans="1:24" ht="11.25" customHeight="1" x14ac:dyDescent="0.25">
      <c r="A63" s="246"/>
      <c r="B63" s="246"/>
      <c r="C63" s="241"/>
      <c r="D63" s="241"/>
      <c r="E63" s="246"/>
      <c r="F63" s="246"/>
      <c r="G63" s="241"/>
    </row>
    <row r="64" spans="1:24" ht="11.25" customHeight="1" x14ac:dyDescent="0.25">
      <c r="A64" s="246"/>
      <c r="B64" s="246"/>
      <c r="C64" s="246"/>
      <c r="D64" s="309"/>
      <c r="E64" s="246"/>
      <c r="F64" s="246"/>
      <c r="G64" s="246"/>
    </row>
    <row r="65" spans="2:2" ht="11.25" customHeight="1" x14ac:dyDescent="0.25">
      <c r="B65" s="149"/>
    </row>
    <row r="66" spans="2:2" ht="11.25" customHeight="1" x14ac:dyDescent="0.25">
      <c r="B66" s="149"/>
    </row>
    <row r="67" spans="2:2" ht="11.25" customHeight="1" x14ac:dyDescent="0.25">
      <c r="B67" s="149"/>
    </row>
    <row r="68" spans="2:2" ht="11.25" customHeight="1" x14ac:dyDescent="0.25">
      <c r="B68" s="149"/>
    </row>
    <row r="69" spans="2:2" ht="11.25" customHeight="1" x14ac:dyDescent="0.25">
      <c r="B69" s="149"/>
    </row>
    <row r="70" spans="2:2" ht="11.25" customHeight="1" x14ac:dyDescent="0.25">
      <c r="B70" s="149"/>
    </row>
    <row r="71" spans="2:2" ht="11.25" customHeight="1" x14ac:dyDescent="0.25">
      <c r="B71" s="149"/>
    </row>
    <row r="72" spans="2:2" ht="11.25" customHeight="1" x14ac:dyDescent="0.25">
      <c r="B72" s="149"/>
    </row>
    <row r="73" spans="2:2" ht="11.25" customHeight="1" x14ac:dyDescent="0.25">
      <c r="B73" s="149"/>
    </row>
    <row r="74" spans="2:2" ht="11.25" customHeight="1" x14ac:dyDescent="0.25">
      <c r="B74" s="149"/>
    </row>
    <row r="75" spans="2:2" ht="11.25" customHeight="1" x14ac:dyDescent="0.25">
      <c r="B75" s="149"/>
    </row>
    <row r="76" spans="2:2" ht="11.25" customHeight="1" x14ac:dyDescent="0.25">
      <c r="B76" s="149"/>
    </row>
    <row r="77" spans="2:2" ht="11.25" customHeight="1" x14ac:dyDescent="0.25">
      <c r="B77" s="149"/>
    </row>
    <row r="78" spans="2:2" ht="11.25" customHeight="1" x14ac:dyDescent="0.25">
      <c r="B78" s="149"/>
    </row>
    <row r="79" spans="2:2" ht="11.25" customHeight="1" x14ac:dyDescent="0.25">
      <c r="B79" s="149"/>
    </row>
    <row r="80" spans="2:2" ht="11.25" customHeight="1" x14ac:dyDescent="0.25">
      <c r="B80" s="149"/>
    </row>
    <row r="81" spans="2:2" ht="11.25" customHeight="1" x14ac:dyDescent="0.25">
      <c r="B81" s="149"/>
    </row>
    <row r="82" spans="2:2" ht="11.25" customHeight="1" x14ac:dyDescent="0.25">
      <c r="B82" s="149"/>
    </row>
    <row r="83" spans="2:2" ht="11.25" customHeight="1" x14ac:dyDescent="0.25">
      <c r="B83" s="149"/>
    </row>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row r="92" spans="2:2" ht="11.25" customHeight="1" x14ac:dyDescent="0.25"/>
  </sheetData>
  <sheetProtection password="C646" sheet="1" objects="1" scenarios="1"/>
  <mergeCells count="3">
    <mergeCell ref="M2:X2"/>
    <mergeCell ref="J2:L2"/>
    <mergeCell ref="F2:I2"/>
  </mergeCells>
  <phoneticPr fontId="2" type="noConversion"/>
  <printOptions horizontalCentered="1"/>
  <pageMargins left="0.37" right="0.2" top="0.6" bottom="0.5" header="0.511811023622047" footer="0.39370078740157499"/>
  <pageSetup paperSize="9" scale="72"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4"/>
    <pageSetUpPr fitToPage="1"/>
  </sheetPr>
  <dimension ref="A1:R120"/>
  <sheetViews>
    <sheetView showGridLines="0" zoomScaleNormal="100" workbookViewId="0">
      <pane xSplit="2" ySplit="3" topLeftCell="C65" activePane="bottomRight" state="frozen"/>
      <selection pane="topRight"/>
      <selection pane="bottomLeft"/>
      <selection pane="bottomRight" activeCell="J40" sqref="J40"/>
    </sheetView>
  </sheetViews>
  <sheetFormatPr defaultColWidth="9.1796875" defaultRowHeight="10.5" x14ac:dyDescent="0.25"/>
  <cols>
    <col min="1" max="1" width="30.7265625" style="149" customWidth="1"/>
    <col min="2" max="2" width="3" style="247" customWidth="1"/>
    <col min="3" max="8" width="9.26953125" style="149" customWidth="1"/>
    <col min="9" max="9" width="9.1796875" style="149" customWidth="1"/>
    <col min="10" max="12" width="9.26953125" style="149" customWidth="1"/>
    <col min="13" max="13" width="11.7265625" style="149" bestFit="1" customWidth="1"/>
    <col min="14" max="14" width="9.54296875" style="149" customWidth="1"/>
    <col min="15" max="15" width="9.81640625" style="149" customWidth="1"/>
    <col min="16" max="18" width="9.54296875" style="149" customWidth="1"/>
    <col min="19" max="19" width="9.81640625" style="149" customWidth="1"/>
    <col min="20" max="22" width="9.54296875" style="149" customWidth="1"/>
    <col min="23" max="24" width="9.81640625" style="149" customWidth="1"/>
    <col min="25" max="16384" width="9.1796875" style="149"/>
  </cols>
  <sheetData>
    <row r="1" spans="1:13" s="179" customFormat="1" ht="13" x14ac:dyDescent="0.3">
      <c r="A1" s="147" t="str">
        <f>muni&amp;" - "&amp;Approve5</f>
        <v>KZN225 Msunduzi - Table A5 Consolidated Budgeted Capital Expenditure by vote, standard classification and funding</v>
      </c>
      <c r="B1" s="147"/>
      <c r="C1" s="147"/>
      <c r="D1" s="147"/>
      <c r="E1" s="147"/>
      <c r="F1" s="147"/>
      <c r="G1" s="147"/>
      <c r="H1" s="147"/>
      <c r="I1" s="147"/>
      <c r="J1" s="147"/>
      <c r="K1" s="147"/>
      <c r="L1" s="147"/>
    </row>
    <row r="2" spans="1:13" ht="28.5" customHeight="1" x14ac:dyDescent="0.25">
      <c r="A2" s="975" t="str">
        <f>Vdesc</f>
        <v>Vote Description</v>
      </c>
      <c r="B2" s="419" t="str">
        <f>head27</f>
        <v>Ref</v>
      </c>
      <c r="C2" s="150" t="str">
        <f>head1b</f>
        <v>2009/10</v>
      </c>
      <c r="D2" s="150" t="str">
        <f>head1A</f>
        <v>2010/11</v>
      </c>
      <c r="E2" s="146" t="str">
        <f>Head1</f>
        <v>2011/12</v>
      </c>
      <c r="F2" s="2677" t="str">
        <f>Head2</f>
        <v>Current Year 2012/13</v>
      </c>
      <c r="G2" s="2678"/>
      <c r="H2" s="2678"/>
      <c r="I2" s="2678"/>
      <c r="J2" s="2674" t="str">
        <f>Head3</f>
        <v>2013/14 Medium Term Revenue &amp; Expenditure Framework</v>
      </c>
      <c r="K2" s="2675"/>
      <c r="L2" s="2676"/>
    </row>
    <row r="3" spans="1:13" ht="21" x14ac:dyDescent="0.25">
      <c r="A3" s="180" t="s">
        <v>665</v>
      </c>
      <c r="B3" s="290">
        <v>1</v>
      </c>
      <c r="C3" s="390" t="str">
        <f>Head5</f>
        <v>Audited Outcome</v>
      </c>
      <c r="D3" s="390" t="str">
        <f>Head5</f>
        <v>Audited Outcome</v>
      </c>
      <c r="E3" s="391" t="str">
        <f>Head5</f>
        <v>Audited Outcome</v>
      </c>
      <c r="F3" s="299" t="str">
        <f>Head6</f>
        <v>Original Budget</v>
      </c>
      <c r="G3" s="390" t="str">
        <f>Head7</f>
        <v>Adjusted Budget</v>
      </c>
      <c r="H3" s="391" t="str">
        <f>Head8</f>
        <v>Full Year Forecast</v>
      </c>
      <c r="I3" s="389" t="str">
        <f>Head5b</f>
        <v>Pre-audit outcome</v>
      </c>
      <c r="J3" s="299" t="str">
        <f>Head9</f>
        <v>Budget Year 2013/14</v>
      </c>
      <c r="K3" s="390" t="str">
        <f>Head10</f>
        <v>Budget Year +1 2014/15</v>
      </c>
      <c r="L3" s="391" t="str">
        <f>Head11</f>
        <v>Budget Year +2 2015/16</v>
      </c>
    </row>
    <row r="4" spans="1:13" x14ac:dyDescent="0.25">
      <c r="A4" s="181" t="s">
        <v>515</v>
      </c>
      <c r="B4" s="291"/>
      <c r="C4" s="311"/>
      <c r="D4" s="311"/>
      <c r="E4" s="312"/>
      <c r="F4" s="313"/>
      <c r="G4" s="311"/>
      <c r="H4" s="314"/>
      <c r="I4" s="312"/>
      <c r="J4" s="313"/>
      <c r="K4" s="311"/>
      <c r="L4" s="314"/>
    </row>
    <row r="5" spans="1:13" ht="11.25" customHeight="1" x14ac:dyDescent="0.25">
      <c r="A5" s="181" t="s">
        <v>1033</v>
      </c>
      <c r="B5" s="293">
        <v>2</v>
      </c>
      <c r="C5" s="315"/>
      <c r="D5" s="315"/>
      <c r="E5" s="316"/>
      <c r="F5" s="317"/>
      <c r="G5" s="315"/>
      <c r="H5" s="318"/>
      <c r="I5" s="316"/>
      <c r="J5" s="317"/>
      <c r="K5" s="315"/>
      <c r="L5" s="318"/>
    </row>
    <row r="6" spans="1:13" ht="11.25" customHeight="1" x14ac:dyDescent="0.25">
      <c r="A6" s="190" t="str">
        <f>A5A!A6</f>
        <v xml:space="preserve">Vote 1 - Corporate Services </v>
      </c>
      <c r="B6" s="293"/>
      <c r="C6" s="192">
        <f>A5A!C6</f>
        <v>7373340</v>
      </c>
      <c r="D6" s="192">
        <f>A5A!D6</f>
        <v>3552209</v>
      </c>
      <c r="E6" s="193">
        <f>A5A!E6</f>
        <v>12688810.550000001</v>
      </c>
      <c r="F6" s="194">
        <f>A5A!F6</f>
        <v>0</v>
      </c>
      <c r="G6" s="192">
        <f>A5A!G6</f>
        <v>0</v>
      </c>
      <c r="H6" s="193">
        <f>A5A!H6</f>
        <v>0</v>
      </c>
      <c r="I6" s="939">
        <f>A5A!I6</f>
        <v>0</v>
      </c>
      <c r="J6" s="194">
        <f>A5A!J6</f>
        <v>2500000</v>
      </c>
      <c r="K6" s="192">
        <f>A5A!K6</f>
        <v>5000000</v>
      </c>
      <c r="L6" s="193">
        <f>A5A!L6</f>
        <v>2800000</v>
      </c>
      <c r="M6" s="319"/>
    </row>
    <row r="7" spans="1:13" ht="11.25" customHeight="1" x14ac:dyDescent="0.25">
      <c r="A7" s="190" t="str">
        <f>A5A!A17</f>
        <v>Vote 2 - Financial Management Area</v>
      </c>
      <c r="B7" s="293"/>
      <c r="C7" s="192">
        <f>A5A!C17</f>
        <v>4975082</v>
      </c>
      <c r="D7" s="192">
        <f>A5A!D17</f>
        <v>151698.5</v>
      </c>
      <c r="E7" s="193">
        <f>A5A!E17</f>
        <v>34681.699999999997</v>
      </c>
      <c r="F7" s="194">
        <f>A5A!F17</f>
        <v>0</v>
      </c>
      <c r="G7" s="192">
        <f>A5A!G17</f>
        <v>0</v>
      </c>
      <c r="H7" s="193">
        <f>A5A!H17</f>
        <v>0</v>
      </c>
      <c r="I7" s="191">
        <f>A5A!I17</f>
        <v>0</v>
      </c>
      <c r="J7" s="194">
        <f>A5A!J17</f>
        <v>0</v>
      </c>
      <c r="K7" s="192">
        <f>A5A!K17</f>
        <v>0</v>
      </c>
      <c r="L7" s="193">
        <f>A5A!L17</f>
        <v>0</v>
      </c>
      <c r="M7" s="321"/>
    </row>
    <row r="8" spans="1:13" ht="11.25" customHeight="1" x14ac:dyDescent="0.25">
      <c r="A8" s="190" t="str">
        <f>A5A!A28</f>
        <v>Vote 3 - Infrastructure Development, Service Delivery and Maintenance Management</v>
      </c>
      <c r="B8" s="293"/>
      <c r="C8" s="192">
        <f>A5A!C28</f>
        <v>130571819</v>
      </c>
      <c r="D8" s="192">
        <f>A5A!D28</f>
        <v>91806803.780000001</v>
      </c>
      <c r="E8" s="193">
        <f>A5A!E28</f>
        <v>194876529.64999998</v>
      </c>
      <c r="F8" s="194">
        <f>A5A!F28</f>
        <v>163117230</v>
      </c>
      <c r="G8" s="192">
        <f>A5A!G28</f>
        <v>149684020</v>
      </c>
      <c r="H8" s="193">
        <f>A5A!H28</f>
        <v>149684020</v>
      </c>
      <c r="I8" s="191">
        <f>A5A!I28</f>
        <v>149684020</v>
      </c>
      <c r="J8" s="194">
        <f>A5A!J28</f>
        <v>405796853</v>
      </c>
      <c r="K8" s="192">
        <f>A5A!K28</f>
        <v>202921000</v>
      </c>
      <c r="L8" s="193">
        <f>A5A!L28</f>
        <v>185400000</v>
      </c>
      <c r="M8" s="320"/>
    </row>
    <row r="9" spans="1:13" ht="11.25" customHeight="1" x14ac:dyDescent="0.25">
      <c r="A9" s="190" t="str">
        <f>A5A!A39</f>
        <v>Vote 4 - Sustainable Community Service Delivery Provision Management</v>
      </c>
      <c r="B9" s="293"/>
      <c r="C9" s="192">
        <f>A5A!C39</f>
        <v>33113251</v>
      </c>
      <c r="D9" s="192">
        <f>A5A!D39</f>
        <v>15638042</v>
      </c>
      <c r="E9" s="193">
        <f>A5A!E39</f>
        <v>15963264.199999999</v>
      </c>
      <c r="F9" s="322">
        <f>A5A!F39</f>
        <v>32815000</v>
      </c>
      <c r="G9" s="192">
        <f>A5A!G39</f>
        <v>28260000</v>
      </c>
      <c r="H9" s="193">
        <f>A5A!H39</f>
        <v>28260000</v>
      </c>
      <c r="I9" s="191">
        <f>A5A!I39</f>
        <v>28260000</v>
      </c>
      <c r="J9" s="194">
        <f>A5A!J39</f>
        <v>0</v>
      </c>
      <c r="K9" s="192">
        <f>A5A!K39</f>
        <v>0</v>
      </c>
      <c r="L9" s="323">
        <f>A5A!L39</f>
        <v>0</v>
      </c>
      <c r="M9" s="320"/>
    </row>
    <row r="10" spans="1:13" ht="11.25" customHeight="1" x14ac:dyDescent="0.25">
      <c r="A10" s="190" t="str">
        <f>A5A!A50</f>
        <v>Vote 5 - [NAME OF VOTE 5]</v>
      </c>
      <c r="B10" s="293"/>
      <c r="C10" s="192">
        <f>A5A!C50</f>
        <v>0</v>
      </c>
      <c r="D10" s="192">
        <f>A5A!D50</f>
        <v>0</v>
      </c>
      <c r="E10" s="193">
        <f>A5A!E50</f>
        <v>0</v>
      </c>
      <c r="F10" s="194">
        <f>A5A!F50</f>
        <v>0</v>
      </c>
      <c r="G10" s="192">
        <f>A5A!G50</f>
        <v>0</v>
      </c>
      <c r="H10" s="193">
        <f>A5A!H50</f>
        <v>0</v>
      </c>
      <c r="I10" s="191">
        <f>A5A!I50</f>
        <v>0</v>
      </c>
      <c r="J10" s="194">
        <f>A5A!J50</f>
        <v>0</v>
      </c>
      <c r="K10" s="192">
        <f>A5A!K50</f>
        <v>0</v>
      </c>
      <c r="L10" s="193">
        <f>A5A!L50</f>
        <v>0</v>
      </c>
      <c r="M10" s="320"/>
    </row>
    <row r="11" spans="1:13" ht="11.25" customHeight="1" x14ac:dyDescent="0.25">
      <c r="A11" s="190" t="str">
        <f>A5A!A61</f>
        <v>Vote 6 - [NAME OF VOTE 6]</v>
      </c>
      <c r="B11" s="293"/>
      <c r="C11" s="192">
        <f>A5A!C61</f>
        <v>0</v>
      </c>
      <c r="D11" s="192">
        <f>A5A!D61</f>
        <v>0</v>
      </c>
      <c r="E11" s="193">
        <f>A5A!E61</f>
        <v>0</v>
      </c>
      <c r="F11" s="194">
        <f>A5A!F61</f>
        <v>0</v>
      </c>
      <c r="G11" s="192">
        <f>A5A!G61</f>
        <v>0</v>
      </c>
      <c r="H11" s="193">
        <f>A5A!H61</f>
        <v>0</v>
      </c>
      <c r="I11" s="191">
        <f>A5A!I61</f>
        <v>0</v>
      </c>
      <c r="J11" s="194">
        <f>A5A!J61</f>
        <v>0</v>
      </c>
      <c r="K11" s="192">
        <f>A5A!K61</f>
        <v>0</v>
      </c>
      <c r="L11" s="193">
        <f>A5A!L61</f>
        <v>0</v>
      </c>
      <c r="M11" s="320"/>
    </row>
    <row r="12" spans="1:13" ht="11.25" customHeight="1" x14ac:dyDescent="0.25">
      <c r="A12" s="190" t="str">
        <f>A5A!A72</f>
        <v>Vote 7 - [NAME OF VOTE 7]</v>
      </c>
      <c r="B12" s="293"/>
      <c r="C12" s="192">
        <f>A5A!C72</f>
        <v>0</v>
      </c>
      <c r="D12" s="192">
        <f>A5A!D72</f>
        <v>0</v>
      </c>
      <c r="E12" s="193">
        <f>A5A!E72</f>
        <v>0</v>
      </c>
      <c r="F12" s="194">
        <f>A5A!F72</f>
        <v>0</v>
      </c>
      <c r="G12" s="192">
        <f>A5A!G72</f>
        <v>0</v>
      </c>
      <c r="H12" s="193">
        <f>A5A!H72</f>
        <v>0</v>
      </c>
      <c r="I12" s="191">
        <f>A5A!I72</f>
        <v>0</v>
      </c>
      <c r="J12" s="194">
        <f>A5A!J72</f>
        <v>0</v>
      </c>
      <c r="K12" s="192">
        <f>A5A!K72</f>
        <v>0</v>
      </c>
      <c r="L12" s="193">
        <f>A5A!L72</f>
        <v>0</v>
      </c>
      <c r="M12" s="320"/>
    </row>
    <row r="13" spans="1:13" ht="11.25" customHeight="1" x14ac:dyDescent="0.25">
      <c r="A13" s="190" t="str">
        <f>A5A!A83</f>
        <v>Vote 8 - [NAME OF VOTE 8]</v>
      </c>
      <c r="B13" s="293"/>
      <c r="C13" s="192">
        <f>A5A!C83</f>
        <v>0</v>
      </c>
      <c r="D13" s="192">
        <f>A5A!D83</f>
        <v>0</v>
      </c>
      <c r="E13" s="191">
        <f>A5A!E83</f>
        <v>0</v>
      </c>
      <c r="F13" s="194">
        <f>A5A!F83</f>
        <v>0</v>
      </c>
      <c r="G13" s="192">
        <f>A5A!G83</f>
        <v>0</v>
      </c>
      <c r="H13" s="193">
        <f>A5A!H83</f>
        <v>0</v>
      </c>
      <c r="I13" s="191">
        <f>A5A!I83</f>
        <v>0</v>
      </c>
      <c r="J13" s="194">
        <f>A5A!J83</f>
        <v>0</v>
      </c>
      <c r="K13" s="192">
        <f>A5A!K83</f>
        <v>0</v>
      </c>
      <c r="L13" s="193">
        <f>A5A!L83</f>
        <v>0</v>
      </c>
      <c r="M13" s="320"/>
    </row>
    <row r="14" spans="1:13" ht="11.25" customHeight="1" x14ac:dyDescent="0.25">
      <c r="A14" s="190" t="str">
        <f>A5A!A94</f>
        <v>Vote 9 - [NAME OF VOTE 9]</v>
      </c>
      <c r="B14" s="293"/>
      <c r="C14" s="192">
        <f>A5A!C94</f>
        <v>0</v>
      </c>
      <c r="D14" s="192">
        <f>A5A!D94</f>
        <v>0</v>
      </c>
      <c r="E14" s="191">
        <f>A5A!E94</f>
        <v>0</v>
      </c>
      <c r="F14" s="194">
        <f>A5A!F94</f>
        <v>0</v>
      </c>
      <c r="G14" s="192">
        <f>A5A!G94</f>
        <v>0</v>
      </c>
      <c r="H14" s="193">
        <f>A5A!H94</f>
        <v>0</v>
      </c>
      <c r="I14" s="191">
        <f>A5A!I94</f>
        <v>0</v>
      </c>
      <c r="J14" s="194">
        <f>A5A!J94</f>
        <v>0</v>
      </c>
      <c r="K14" s="192">
        <f>A5A!K94</f>
        <v>0</v>
      </c>
      <c r="L14" s="193">
        <f>A5A!L94</f>
        <v>0</v>
      </c>
      <c r="M14" s="1551"/>
    </row>
    <row r="15" spans="1:13" ht="11.25" customHeight="1" x14ac:dyDescent="0.25">
      <c r="A15" s="190" t="str">
        <f>A5A!A105</f>
        <v>Vote 10 - [NAME OF VOTE 10]</v>
      </c>
      <c r="B15" s="293"/>
      <c r="C15" s="192">
        <f>A5A!C105</f>
        <v>0</v>
      </c>
      <c r="D15" s="192">
        <f>A5A!D105</f>
        <v>0</v>
      </c>
      <c r="E15" s="191">
        <f>A5A!E105</f>
        <v>0</v>
      </c>
      <c r="F15" s="194">
        <f>A5A!F105</f>
        <v>0</v>
      </c>
      <c r="G15" s="192">
        <f>A5A!G105</f>
        <v>0</v>
      </c>
      <c r="H15" s="193">
        <f>A5A!H105</f>
        <v>0</v>
      </c>
      <c r="I15" s="191">
        <f>A5A!I105</f>
        <v>0</v>
      </c>
      <c r="J15" s="194">
        <f>A5A!J105</f>
        <v>0</v>
      </c>
      <c r="K15" s="192">
        <f>A5A!K105</f>
        <v>0</v>
      </c>
      <c r="L15" s="193">
        <f>A5A!L105</f>
        <v>0</v>
      </c>
      <c r="M15" s="1551"/>
    </row>
    <row r="16" spans="1:13" ht="11.25" customHeight="1" x14ac:dyDescent="0.25">
      <c r="A16" s="190" t="str">
        <f>A5A!A116</f>
        <v>Vote 11 - [NAME OF VOTE 11]</v>
      </c>
      <c r="B16" s="293"/>
      <c r="C16" s="192">
        <f>A5A!C116</f>
        <v>0</v>
      </c>
      <c r="D16" s="192">
        <f>A5A!D116</f>
        <v>0</v>
      </c>
      <c r="E16" s="191">
        <f>A5A!E116</f>
        <v>0</v>
      </c>
      <c r="F16" s="194">
        <f>A5A!F116</f>
        <v>0</v>
      </c>
      <c r="G16" s="192">
        <f>A5A!G116</f>
        <v>0</v>
      </c>
      <c r="H16" s="193">
        <f>A5A!H116</f>
        <v>0</v>
      </c>
      <c r="I16" s="191">
        <f>A5A!I116</f>
        <v>0</v>
      </c>
      <c r="J16" s="194">
        <f>A5A!J116</f>
        <v>0</v>
      </c>
      <c r="K16" s="192">
        <f>A5A!K116</f>
        <v>0</v>
      </c>
      <c r="L16" s="193">
        <f>A5A!L116</f>
        <v>0</v>
      </c>
      <c r="M16" s="370"/>
    </row>
    <row r="17" spans="1:13" ht="11.25" customHeight="1" x14ac:dyDescent="0.25">
      <c r="A17" s="190" t="str">
        <f>A5A!A127</f>
        <v>Vote 12 - [NAME OF VOTE 12]</v>
      </c>
      <c r="B17" s="293"/>
      <c r="C17" s="192">
        <f>A5A!C127</f>
        <v>0</v>
      </c>
      <c r="D17" s="192">
        <f>A5A!D127</f>
        <v>0</v>
      </c>
      <c r="E17" s="191">
        <f>A5A!E127</f>
        <v>0</v>
      </c>
      <c r="F17" s="194">
        <f>A5A!F127</f>
        <v>0</v>
      </c>
      <c r="G17" s="192">
        <f>A5A!G127</f>
        <v>0</v>
      </c>
      <c r="H17" s="193">
        <f>A5A!H127</f>
        <v>0</v>
      </c>
      <c r="I17" s="191">
        <f>A5A!I127</f>
        <v>0</v>
      </c>
      <c r="J17" s="194">
        <f>A5A!J127</f>
        <v>0</v>
      </c>
      <c r="K17" s="192">
        <f>A5A!K127</f>
        <v>0</v>
      </c>
      <c r="L17" s="193">
        <f>A5A!L127</f>
        <v>0</v>
      </c>
      <c r="M17" s="1551"/>
    </row>
    <row r="18" spans="1:13" ht="11.25" customHeight="1" x14ac:dyDescent="0.25">
      <c r="A18" s="190" t="str">
        <f>A5A!A138</f>
        <v>Vote 13 - [NAME OF VOTE 13]</v>
      </c>
      <c r="B18" s="293"/>
      <c r="C18" s="192">
        <f>A5A!C138</f>
        <v>0</v>
      </c>
      <c r="D18" s="192">
        <f>A5A!D138</f>
        <v>0</v>
      </c>
      <c r="E18" s="191">
        <f>A5A!E138</f>
        <v>0</v>
      </c>
      <c r="F18" s="194">
        <f>A5A!F138</f>
        <v>0</v>
      </c>
      <c r="G18" s="192">
        <f>A5A!G138</f>
        <v>0</v>
      </c>
      <c r="H18" s="193">
        <f>A5A!H138</f>
        <v>0</v>
      </c>
      <c r="I18" s="191">
        <f>A5A!I138</f>
        <v>0</v>
      </c>
      <c r="J18" s="194">
        <f>A5A!J138</f>
        <v>0</v>
      </c>
      <c r="K18" s="192">
        <f>A5A!K138</f>
        <v>0</v>
      </c>
      <c r="L18" s="193">
        <f>A5A!L138</f>
        <v>0</v>
      </c>
      <c r="M18" s="1551"/>
    </row>
    <row r="19" spans="1:13" ht="11.25" customHeight="1" x14ac:dyDescent="0.25">
      <c r="A19" s="190" t="str">
        <f>A5A!A149</f>
        <v>Vote 14 - [NAME OF VOTE 14]</v>
      </c>
      <c r="B19" s="293"/>
      <c r="C19" s="192">
        <f>A5A!C149</f>
        <v>0</v>
      </c>
      <c r="D19" s="192">
        <f>A5A!D149</f>
        <v>0</v>
      </c>
      <c r="E19" s="191">
        <f>A5A!E149</f>
        <v>0</v>
      </c>
      <c r="F19" s="194">
        <f>A5A!F149</f>
        <v>0</v>
      </c>
      <c r="G19" s="192">
        <f>A5A!G149</f>
        <v>0</v>
      </c>
      <c r="H19" s="193">
        <f>A5A!H149</f>
        <v>0</v>
      </c>
      <c r="I19" s="191">
        <f>A5A!I149</f>
        <v>0</v>
      </c>
      <c r="J19" s="194">
        <f>A5A!J149</f>
        <v>0</v>
      </c>
      <c r="K19" s="192">
        <f>A5A!K149</f>
        <v>0</v>
      </c>
      <c r="L19" s="193">
        <f>A5A!L149</f>
        <v>0</v>
      </c>
      <c r="M19" s="1551"/>
    </row>
    <row r="20" spans="1:13" ht="11.25" customHeight="1" x14ac:dyDescent="0.25">
      <c r="A20" s="190" t="str">
        <f>A5A!A160</f>
        <v>Vote 15 - [NAME OF VOTE 15]</v>
      </c>
      <c r="B20" s="293"/>
      <c r="C20" s="192">
        <f>A5A!C160</f>
        <v>0</v>
      </c>
      <c r="D20" s="192">
        <f>A5A!D160</f>
        <v>0</v>
      </c>
      <c r="E20" s="191">
        <f>A5A!E160</f>
        <v>0</v>
      </c>
      <c r="F20" s="194">
        <f>A5A!F160</f>
        <v>0</v>
      </c>
      <c r="G20" s="192">
        <f>A5A!G160</f>
        <v>0</v>
      </c>
      <c r="H20" s="193">
        <f>A5A!H160</f>
        <v>0</v>
      </c>
      <c r="I20" s="191">
        <f>A5A!I160</f>
        <v>0</v>
      </c>
      <c r="J20" s="194">
        <f>A5A!J160</f>
        <v>0</v>
      </c>
      <c r="K20" s="192">
        <f>A5A!K160</f>
        <v>0</v>
      </c>
      <c r="L20" s="193">
        <f>A5A!L160</f>
        <v>0</v>
      </c>
      <c r="M20" s="1551"/>
    </row>
    <row r="21" spans="1:13" x14ac:dyDescent="0.25">
      <c r="A21" s="197" t="s">
        <v>196</v>
      </c>
      <c r="B21" s="293">
        <v>7</v>
      </c>
      <c r="C21" s="1352">
        <f>SUM(C6:C20)</f>
        <v>176033492</v>
      </c>
      <c r="D21" s="1352">
        <f t="shared" ref="D21:L21" si="0">SUM(D6:D20)</f>
        <v>111148753.28</v>
      </c>
      <c r="E21" s="266">
        <f t="shared" si="0"/>
        <v>223563286.09999996</v>
      </c>
      <c r="F21" s="269">
        <f t="shared" si="0"/>
        <v>195932230</v>
      </c>
      <c r="G21" s="267">
        <f t="shared" si="0"/>
        <v>177944020</v>
      </c>
      <c r="H21" s="268">
        <f>SUM(H6:H20)</f>
        <v>177944020</v>
      </c>
      <c r="I21" s="266">
        <f t="shared" si="0"/>
        <v>177944020</v>
      </c>
      <c r="J21" s="269">
        <f t="shared" si="0"/>
        <v>408296853</v>
      </c>
      <c r="K21" s="267">
        <f t="shared" si="0"/>
        <v>207921000</v>
      </c>
      <c r="L21" s="268">
        <f t="shared" si="0"/>
        <v>188200000</v>
      </c>
      <c r="M21" s="370"/>
    </row>
    <row r="22" spans="1:13" ht="5.15" customHeight="1" x14ac:dyDescent="0.25">
      <c r="A22" s="201"/>
      <c r="B22" s="293"/>
      <c r="C22" s="203"/>
      <c r="D22" s="259"/>
      <c r="E22" s="202"/>
      <c r="F22" s="205"/>
      <c r="G22" s="203"/>
      <c r="H22" s="204"/>
      <c r="I22" s="202"/>
      <c r="J22" s="205"/>
      <c r="K22" s="203"/>
      <c r="L22" s="204"/>
      <c r="M22" s="370"/>
    </row>
    <row r="23" spans="1:13" ht="11.25" customHeight="1" x14ac:dyDescent="0.25">
      <c r="A23" s="181" t="s">
        <v>1034</v>
      </c>
      <c r="B23" s="293">
        <v>2</v>
      </c>
      <c r="C23" s="324"/>
      <c r="D23" s="324"/>
      <c r="E23" s="193"/>
      <c r="F23" s="194"/>
      <c r="G23" s="192"/>
      <c r="H23" s="193"/>
      <c r="I23" s="191"/>
      <c r="J23" s="194"/>
      <c r="K23" s="192"/>
      <c r="L23" s="193"/>
      <c r="M23" s="370"/>
    </row>
    <row r="24" spans="1:13" ht="11.25" customHeight="1" x14ac:dyDescent="0.25">
      <c r="A24" s="190" t="str">
        <f>A6</f>
        <v xml:space="preserve">Vote 1 - Corporate Services </v>
      </c>
      <c r="B24" s="293"/>
      <c r="C24" s="324">
        <f>A5A!C175</f>
        <v>0</v>
      </c>
      <c r="D24" s="324">
        <f>A5A!D175</f>
        <v>0</v>
      </c>
      <c r="E24" s="193">
        <f>A5A!E175</f>
        <v>0</v>
      </c>
      <c r="F24" s="194">
        <f>A5A!F175</f>
        <v>5150000</v>
      </c>
      <c r="G24" s="192">
        <f>A5A!G175</f>
        <v>12782268</v>
      </c>
      <c r="H24" s="193">
        <f>A5A!H175</f>
        <v>12782268</v>
      </c>
      <c r="I24" s="191">
        <f>A5A!I175</f>
        <v>12782268</v>
      </c>
      <c r="J24" s="194">
        <f>A5A!J175</f>
        <v>3100000</v>
      </c>
      <c r="K24" s="192">
        <f>A5A!K175</f>
        <v>0</v>
      </c>
      <c r="L24" s="193">
        <f>A5A!L175</f>
        <v>0</v>
      </c>
      <c r="M24" s="370"/>
    </row>
    <row r="25" spans="1:13" ht="11.25" customHeight="1" x14ac:dyDescent="0.25">
      <c r="A25" s="190" t="str">
        <f t="shared" ref="A25:A37" si="1">A7</f>
        <v>Vote 2 - Financial Management Area</v>
      </c>
      <c r="B25" s="293"/>
      <c r="C25" s="324">
        <f>A5A!C186</f>
        <v>0</v>
      </c>
      <c r="D25" s="324">
        <f>A5A!D186</f>
        <v>0</v>
      </c>
      <c r="E25" s="193">
        <f>A5A!E186</f>
        <v>0</v>
      </c>
      <c r="F25" s="194">
        <f>A5A!F186</f>
        <v>0</v>
      </c>
      <c r="G25" s="192">
        <f>A5A!G186</f>
        <v>3423760</v>
      </c>
      <c r="H25" s="193">
        <f>A5A!H186</f>
        <v>3423760</v>
      </c>
      <c r="I25" s="191">
        <f>A5A!I186</f>
        <v>3423760</v>
      </c>
      <c r="J25" s="194">
        <f>A5A!J186</f>
        <v>7000000</v>
      </c>
      <c r="K25" s="192">
        <f>A5A!K186</f>
        <v>12000000</v>
      </c>
      <c r="L25" s="193">
        <f>A5A!L186</f>
        <v>13000000</v>
      </c>
      <c r="M25" s="370"/>
    </row>
    <row r="26" spans="1:13" ht="11.25" customHeight="1" x14ac:dyDescent="0.25">
      <c r="A26" s="190" t="str">
        <f t="shared" si="1"/>
        <v>Vote 3 - Infrastructure Development, Service Delivery and Maintenance Management</v>
      </c>
      <c r="B26" s="293"/>
      <c r="C26" s="324">
        <f>A5A!C197</f>
        <v>0</v>
      </c>
      <c r="D26" s="324">
        <f>A5A!D197</f>
        <v>0</v>
      </c>
      <c r="E26" s="193">
        <f>A5A!E197</f>
        <v>0</v>
      </c>
      <c r="F26" s="194">
        <f>A5A!F197</f>
        <v>15635960</v>
      </c>
      <c r="G26" s="192">
        <f>A5A!G197</f>
        <v>92993023</v>
      </c>
      <c r="H26" s="193">
        <f>A5A!H197</f>
        <v>92993023</v>
      </c>
      <c r="I26" s="191">
        <f>A5A!I197</f>
        <v>92993023</v>
      </c>
      <c r="J26" s="194">
        <f>A5A!J197</f>
        <v>48951655</v>
      </c>
      <c r="K26" s="192">
        <f>A5A!K197</f>
        <v>31550000</v>
      </c>
      <c r="L26" s="193">
        <f>A5A!L197</f>
        <v>39990000</v>
      </c>
      <c r="M26" s="370"/>
    </row>
    <row r="27" spans="1:13" ht="11.25" customHeight="1" x14ac:dyDescent="0.25">
      <c r="A27" s="190" t="str">
        <f t="shared" si="1"/>
        <v>Vote 4 - Sustainable Community Service Delivery Provision Management</v>
      </c>
      <c r="B27" s="293"/>
      <c r="C27" s="324">
        <f>A5A!C208</f>
        <v>0</v>
      </c>
      <c r="D27" s="324">
        <f>A5A!D208</f>
        <v>0</v>
      </c>
      <c r="E27" s="193">
        <f>A5A!E208</f>
        <v>0</v>
      </c>
      <c r="F27" s="194">
        <f>A5A!F208</f>
        <v>13295810</v>
      </c>
      <c r="G27" s="192">
        <f>A5A!G208</f>
        <v>22612679</v>
      </c>
      <c r="H27" s="193">
        <f>A5A!H208</f>
        <v>22612679</v>
      </c>
      <c r="I27" s="191">
        <f>A5A!I208</f>
        <v>22612679</v>
      </c>
      <c r="J27" s="194">
        <f>A5A!J208</f>
        <v>8310000</v>
      </c>
      <c r="K27" s="192">
        <f>A5A!K208</f>
        <v>2800000</v>
      </c>
      <c r="L27" s="193">
        <f>A5A!L208</f>
        <v>1200000</v>
      </c>
      <c r="M27" s="370"/>
    </row>
    <row r="28" spans="1:13" ht="11.25" customHeight="1" x14ac:dyDescent="0.25">
      <c r="A28" s="190" t="str">
        <f t="shared" si="1"/>
        <v>Vote 5 - [NAME OF VOTE 5]</v>
      </c>
      <c r="B28" s="293"/>
      <c r="C28" s="324">
        <f>A5A!C219</f>
        <v>0</v>
      </c>
      <c r="D28" s="324">
        <f>A5A!D219</f>
        <v>0</v>
      </c>
      <c r="E28" s="193">
        <f>A5A!E219</f>
        <v>0</v>
      </c>
      <c r="F28" s="194">
        <f>A5A!F219</f>
        <v>0</v>
      </c>
      <c r="G28" s="192">
        <f>A5A!G219</f>
        <v>0</v>
      </c>
      <c r="H28" s="193">
        <f>A5A!H219</f>
        <v>0</v>
      </c>
      <c r="I28" s="191">
        <f>A5A!I219</f>
        <v>0</v>
      </c>
      <c r="J28" s="194">
        <f>A5A!J219</f>
        <v>0</v>
      </c>
      <c r="K28" s="192">
        <f>A5A!K219</f>
        <v>0</v>
      </c>
      <c r="L28" s="193">
        <f>A5A!L219</f>
        <v>0</v>
      </c>
      <c r="M28" s="370"/>
    </row>
    <row r="29" spans="1:13" ht="11.25" customHeight="1" x14ac:dyDescent="0.25">
      <c r="A29" s="190" t="str">
        <f t="shared" si="1"/>
        <v>Vote 6 - [NAME OF VOTE 6]</v>
      </c>
      <c r="B29" s="293"/>
      <c r="C29" s="324">
        <f>A5A!C230</f>
        <v>0</v>
      </c>
      <c r="D29" s="324">
        <f>A5A!D230</f>
        <v>0</v>
      </c>
      <c r="E29" s="193">
        <f>A5A!E230</f>
        <v>0</v>
      </c>
      <c r="F29" s="194">
        <f>A5A!F230</f>
        <v>0</v>
      </c>
      <c r="G29" s="192">
        <f>A5A!G230</f>
        <v>0</v>
      </c>
      <c r="H29" s="193">
        <f>A5A!H230</f>
        <v>0</v>
      </c>
      <c r="I29" s="191">
        <f>A5A!I230</f>
        <v>0</v>
      </c>
      <c r="J29" s="194">
        <f>A5A!J230</f>
        <v>0</v>
      </c>
      <c r="K29" s="192">
        <f>A5A!K230</f>
        <v>0</v>
      </c>
      <c r="L29" s="193">
        <f>A5A!L230</f>
        <v>0</v>
      </c>
      <c r="M29" s="370"/>
    </row>
    <row r="30" spans="1:13" ht="11.25" customHeight="1" x14ac:dyDescent="0.25">
      <c r="A30" s="190" t="str">
        <f t="shared" si="1"/>
        <v>Vote 7 - [NAME OF VOTE 7]</v>
      </c>
      <c r="B30" s="293"/>
      <c r="C30" s="324">
        <f>A5A!C241</f>
        <v>0</v>
      </c>
      <c r="D30" s="324">
        <f>A5A!D241</f>
        <v>0</v>
      </c>
      <c r="E30" s="193">
        <f>A5A!E241</f>
        <v>0</v>
      </c>
      <c r="F30" s="194">
        <f>A5A!F241</f>
        <v>0</v>
      </c>
      <c r="G30" s="192">
        <f>A5A!G241</f>
        <v>0</v>
      </c>
      <c r="H30" s="193">
        <f>A5A!H241</f>
        <v>0</v>
      </c>
      <c r="I30" s="191">
        <f>A5A!I241</f>
        <v>0</v>
      </c>
      <c r="J30" s="194">
        <f>A5A!J241</f>
        <v>0</v>
      </c>
      <c r="K30" s="192">
        <f>A5A!K241</f>
        <v>0</v>
      </c>
      <c r="L30" s="193">
        <f>A5A!L241</f>
        <v>0</v>
      </c>
      <c r="M30" s="370"/>
    </row>
    <row r="31" spans="1:13" ht="11.25" customHeight="1" x14ac:dyDescent="0.25">
      <c r="A31" s="190" t="str">
        <f t="shared" si="1"/>
        <v>Vote 8 - [NAME OF VOTE 8]</v>
      </c>
      <c r="B31" s="293"/>
      <c r="C31" s="324">
        <f>A5A!C252</f>
        <v>0</v>
      </c>
      <c r="D31" s="324">
        <f>A5A!D252</f>
        <v>0</v>
      </c>
      <c r="E31" s="193">
        <f>A5A!E252</f>
        <v>0</v>
      </c>
      <c r="F31" s="194">
        <f>A5A!F252</f>
        <v>0</v>
      </c>
      <c r="G31" s="192">
        <f>A5A!G252</f>
        <v>0</v>
      </c>
      <c r="H31" s="193">
        <f>A5A!H252</f>
        <v>0</v>
      </c>
      <c r="I31" s="191">
        <f>A5A!I252</f>
        <v>0</v>
      </c>
      <c r="J31" s="194">
        <f>A5A!J252</f>
        <v>0</v>
      </c>
      <c r="K31" s="192">
        <f>A5A!K252</f>
        <v>0</v>
      </c>
      <c r="L31" s="193">
        <f>A5A!L252</f>
        <v>0</v>
      </c>
      <c r="M31" s="370"/>
    </row>
    <row r="32" spans="1:13" ht="11.25" customHeight="1" x14ac:dyDescent="0.25">
      <c r="A32" s="190" t="str">
        <f t="shared" si="1"/>
        <v>Vote 9 - [NAME OF VOTE 9]</v>
      </c>
      <c r="B32" s="293"/>
      <c r="C32" s="324">
        <f>A5A!C263</f>
        <v>0</v>
      </c>
      <c r="D32" s="324">
        <f>A5A!D263</f>
        <v>0</v>
      </c>
      <c r="E32" s="193">
        <f>A5A!E263</f>
        <v>0</v>
      </c>
      <c r="F32" s="194">
        <f>A5A!F263</f>
        <v>0</v>
      </c>
      <c r="G32" s="192">
        <f>A5A!G263</f>
        <v>0</v>
      </c>
      <c r="H32" s="193">
        <f>A5A!H263</f>
        <v>0</v>
      </c>
      <c r="I32" s="191">
        <f>A5A!I263</f>
        <v>0</v>
      </c>
      <c r="J32" s="194">
        <f>A5A!J263</f>
        <v>0</v>
      </c>
      <c r="K32" s="192">
        <f>A5A!K263</f>
        <v>0</v>
      </c>
      <c r="L32" s="193">
        <f>A5A!L263</f>
        <v>0</v>
      </c>
      <c r="M32" s="370"/>
    </row>
    <row r="33" spans="1:18" ht="11.25" customHeight="1" x14ac:dyDescent="0.25">
      <c r="A33" s="190" t="str">
        <f t="shared" si="1"/>
        <v>Vote 10 - [NAME OF VOTE 10]</v>
      </c>
      <c r="B33" s="293"/>
      <c r="C33" s="324">
        <f>A5A!C274</f>
        <v>0</v>
      </c>
      <c r="D33" s="324">
        <f>A5A!D274</f>
        <v>0</v>
      </c>
      <c r="E33" s="193">
        <f>A5A!E274</f>
        <v>0</v>
      </c>
      <c r="F33" s="194">
        <f>A5A!F274</f>
        <v>0</v>
      </c>
      <c r="G33" s="192">
        <f>A5A!G274</f>
        <v>0</v>
      </c>
      <c r="H33" s="193">
        <f>A5A!H274</f>
        <v>0</v>
      </c>
      <c r="I33" s="191">
        <f>A5A!I274</f>
        <v>0</v>
      </c>
      <c r="J33" s="194">
        <f>A5A!J274</f>
        <v>0</v>
      </c>
      <c r="K33" s="192">
        <f>A5A!K274</f>
        <v>0</v>
      </c>
      <c r="L33" s="193">
        <f>A5A!L274</f>
        <v>0</v>
      </c>
      <c r="M33" s="370"/>
    </row>
    <row r="34" spans="1:18" ht="11.25" customHeight="1" x14ac:dyDescent="0.25">
      <c r="A34" s="190" t="str">
        <f t="shared" si="1"/>
        <v>Vote 11 - [NAME OF VOTE 11]</v>
      </c>
      <c r="B34" s="293"/>
      <c r="C34" s="324">
        <f>A5A!C285</f>
        <v>0</v>
      </c>
      <c r="D34" s="324">
        <f>A5A!D285</f>
        <v>0</v>
      </c>
      <c r="E34" s="193">
        <f>A5A!E285</f>
        <v>0</v>
      </c>
      <c r="F34" s="194">
        <f>A5A!F285</f>
        <v>0</v>
      </c>
      <c r="G34" s="192">
        <f>A5A!G285</f>
        <v>0</v>
      </c>
      <c r="H34" s="193">
        <f>A5A!H285</f>
        <v>0</v>
      </c>
      <c r="I34" s="191">
        <f>A5A!I285</f>
        <v>0</v>
      </c>
      <c r="J34" s="194">
        <f>A5A!J285</f>
        <v>0</v>
      </c>
      <c r="K34" s="192">
        <f>A5A!K285</f>
        <v>0</v>
      </c>
      <c r="L34" s="193">
        <f>A5A!L285</f>
        <v>0</v>
      </c>
      <c r="M34" s="370"/>
    </row>
    <row r="35" spans="1:18" ht="11.25" customHeight="1" x14ac:dyDescent="0.25">
      <c r="A35" s="190" t="str">
        <f t="shared" si="1"/>
        <v>Vote 12 - [NAME OF VOTE 12]</v>
      </c>
      <c r="B35" s="293"/>
      <c r="C35" s="324">
        <f>A5A!C296</f>
        <v>0</v>
      </c>
      <c r="D35" s="324">
        <f>A5A!D296</f>
        <v>0</v>
      </c>
      <c r="E35" s="193">
        <f>A5A!E296</f>
        <v>0</v>
      </c>
      <c r="F35" s="194">
        <f>A5A!F296</f>
        <v>0</v>
      </c>
      <c r="G35" s="192">
        <f>A5A!G296</f>
        <v>0</v>
      </c>
      <c r="H35" s="193">
        <f>A5A!H296</f>
        <v>0</v>
      </c>
      <c r="I35" s="191">
        <f>A5A!I296</f>
        <v>0</v>
      </c>
      <c r="J35" s="194">
        <f>A5A!J296</f>
        <v>0</v>
      </c>
      <c r="K35" s="192">
        <f>A5A!K296</f>
        <v>0</v>
      </c>
      <c r="L35" s="193">
        <f>A5A!L296</f>
        <v>0</v>
      </c>
      <c r="M35" s="370"/>
    </row>
    <row r="36" spans="1:18" ht="11.25" customHeight="1" x14ac:dyDescent="0.25">
      <c r="A36" s="190" t="str">
        <f t="shared" si="1"/>
        <v>Vote 13 - [NAME OF VOTE 13]</v>
      </c>
      <c r="B36" s="293"/>
      <c r="C36" s="1512">
        <f>A5A!C307</f>
        <v>0</v>
      </c>
      <c r="D36" s="1512">
        <f>A5A!D307</f>
        <v>0</v>
      </c>
      <c r="E36" s="1513">
        <f>A5A!E307</f>
        <v>0</v>
      </c>
      <c r="F36" s="1514">
        <f>A5A!F307</f>
        <v>0</v>
      </c>
      <c r="G36" s="1472">
        <f>A5A!G307</f>
        <v>0</v>
      </c>
      <c r="H36" s="1513">
        <f>A5A!H307</f>
        <v>0</v>
      </c>
      <c r="I36" s="1473">
        <f>A5A!I307</f>
        <v>0</v>
      </c>
      <c r="J36" s="1514">
        <f>A5A!J307</f>
        <v>0</v>
      </c>
      <c r="K36" s="1472">
        <f>A5A!K307</f>
        <v>0</v>
      </c>
      <c r="L36" s="1513">
        <f>A5A!L307</f>
        <v>0</v>
      </c>
      <c r="M36" s="370"/>
    </row>
    <row r="37" spans="1:18" ht="11.25" customHeight="1" x14ac:dyDescent="0.25">
      <c r="A37" s="190" t="str">
        <f t="shared" si="1"/>
        <v>Vote 14 - [NAME OF VOTE 14]</v>
      </c>
      <c r="B37" s="293"/>
      <c r="C37" s="1512">
        <f>A5A!C318</f>
        <v>0</v>
      </c>
      <c r="D37" s="1512">
        <f>A5A!D318</f>
        <v>0</v>
      </c>
      <c r="E37" s="1513">
        <f>A5A!E318</f>
        <v>0</v>
      </c>
      <c r="F37" s="1514">
        <f>A5A!F318</f>
        <v>0</v>
      </c>
      <c r="G37" s="1472">
        <f>A5A!G318</f>
        <v>0</v>
      </c>
      <c r="H37" s="1513">
        <f>A5A!H318</f>
        <v>0</v>
      </c>
      <c r="I37" s="1473">
        <f>A5A!I318</f>
        <v>0</v>
      </c>
      <c r="J37" s="1514">
        <f>A5A!J318</f>
        <v>0</v>
      </c>
      <c r="K37" s="1472">
        <f>A5A!K318</f>
        <v>0</v>
      </c>
      <c r="L37" s="1513">
        <f>A5A!L318</f>
        <v>0</v>
      </c>
      <c r="M37" s="370"/>
    </row>
    <row r="38" spans="1:18" ht="11.25" customHeight="1" x14ac:dyDescent="0.25">
      <c r="A38" s="190" t="str">
        <f>A20</f>
        <v>Vote 15 - [NAME OF VOTE 15]</v>
      </c>
      <c r="B38" s="293"/>
      <c r="C38" s="1512">
        <f>A5A!C329</f>
        <v>0</v>
      </c>
      <c r="D38" s="1512">
        <f>A5A!D329</f>
        <v>0</v>
      </c>
      <c r="E38" s="1513">
        <f>A5A!E329</f>
        <v>0</v>
      </c>
      <c r="F38" s="1514">
        <f>A5A!F329</f>
        <v>0</v>
      </c>
      <c r="G38" s="1472">
        <f>A5A!G329</f>
        <v>0</v>
      </c>
      <c r="H38" s="1513">
        <f>A5A!H329</f>
        <v>0</v>
      </c>
      <c r="I38" s="1473">
        <f>A5A!I329</f>
        <v>0</v>
      </c>
      <c r="J38" s="1514">
        <f>A5A!J329</f>
        <v>0</v>
      </c>
      <c r="K38" s="1472">
        <f>A5A!K329</f>
        <v>0</v>
      </c>
      <c r="L38" s="1513">
        <f>A5A!L329</f>
        <v>0</v>
      </c>
      <c r="M38" s="370"/>
    </row>
    <row r="39" spans="1:18" ht="11.25" customHeight="1" x14ac:dyDescent="0.25">
      <c r="A39" s="326" t="s">
        <v>1326</v>
      </c>
      <c r="B39" s="293"/>
      <c r="C39" s="1349">
        <f>SUM(C24:C38)</f>
        <v>0</v>
      </c>
      <c r="D39" s="1349">
        <f t="shared" ref="D39:L39" si="2">SUM(D24:D38)</f>
        <v>0</v>
      </c>
      <c r="E39" s="1350">
        <f t="shared" si="2"/>
        <v>0</v>
      </c>
      <c r="F39" s="1351">
        <f t="shared" si="2"/>
        <v>34081770</v>
      </c>
      <c r="G39" s="1352">
        <f t="shared" si="2"/>
        <v>131811730</v>
      </c>
      <c r="H39" s="1350">
        <f t="shared" si="2"/>
        <v>131811730</v>
      </c>
      <c r="I39" s="1353">
        <f t="shared" si="2"/>
        <v>131811730</v>
      </c>
      <c r="J39" s="1351">
        <f t="shared" si="2"/>
        <v>67361655</v>
      </c>
      <c r="K39" s="1352">
        <f t="shared" si="2"/>
        <v>46350000</v>
      </c>
      <c r="L39" s="1350">
        <f t="shared" si="2"/>
        <v>54190000</v>
      </c>
      <c r="M39" s="370"/>
    </row>
    <row r="40" spans="1:18" x14ac:dyDescent="0.25">
      <c r="A40" s="224" t="s">
        <v>1035</v>
      </c>
      <c r="B40" s="306"/>
      <c r="C40" s="327">
        <f>C39+C21</f>
        <v>176033492</v>
      </c>
      <c r="D40" s="327">
        <f t="shared" ref="D40:L40" si="3">D39+D21</f>
        <v>111148753.28</v>
      </c>
      <c r="E40" s="328">
        <f t="shared" si="3"/>
        <v>223563286.09999996</v>
      </c>
      <c r="F40" s="329">
        <f t="shared" si="3"/>
        <v>230014000</v>
      </c>
      <c r="G40" s="330">
        <f t="shared" si="3"/>
        <v>309755750</v>
      </c>
      <c r="H40" s="328">
        <f t="shared" si="3"/>
        <v>309755750</v>
      </c>
      <c r="I40" s="331">
        <f t="shared" si="3"/>
        <v>309755750</v>
      </c>
      <c r="J40" s="329">
        <f t="shared" si="3"/>
        <v>475658508</v>
      </c>
      <c r="K40" s="330">
        <f t="shared" si="3"/>
        <v>254271000</v>
      </c>
      <c r="L40" s="328">
        <f t="shared" si="3"/>
        <v>242390000</v>
      </c>
      <c r="M40" s="370"/>
    </row>
    <row r="41" spans="1:18" ht="5.15" customHeight="1" x14ac:dyDescent="0.25">
      <c r="A41" s="201"/>
      <c r="B41" s="293"/>
      <c r="C41" s="324"/>
      <c r="D41" s="324"/>
      <c r="E41" s="193"/>
      <c r="F41" s="194"/>
      <c r="G41" s="192"/>
      <c r="H41" s="193"/>
      <c r="I41" s="191"/>
      <c r="J41" s="194"/>
      <c r="K41" s="192"/>
      <c r="L41" s="193"/>
      <c r="M41" s="370"/>
    </row>
    <row r="42" spans="1:18" ht="11.25" customHeight="1" x14ac:dyDescent="0.25">
      <c r="A42" s="181" t="s">
        <v>1237</v>
      </c>
      <c r="B42" s="293"/>
      <c r="C42" s="324"/>
      <c r="D42" s="324"/>
      <c r="E42" s="193"/>
      <c r="F42" s="194"/>
      <c r="G42" s="192"/>
      <c r="H42" s="193"/>
      <c r="I42" s="191"/>
      <c r="J42" s="1272"/>
      <c r="K42" s="192"/>
      <c r="L42" s="1273"/>
      <c r="M42" s="370"/>
    </row>
    <row r="43" spans="1:18" ht="11.25" customHeight="1" x14ac:dyDescent="0.25">
      <c r="A43" s="1270" t="s">
        <v>1128</v>
      </c>
      <c r="B43" s="1187"/>
      <c r="C43" s="1130">
        <f>SUM(C44:C46)</f>
        <v>15400636</v>
      </c>
      <c r="D43" s="1130">
        <f t="shared" ref="D43:L43" si="4">SUM(D44:D46)</f>
        <v>7557488.6299999999</v>
      </c>
      <c r="E43" s="1410">
        <f t="shared" si="4"/>
        <v>12723194.76</v>
      </c>
      <c r="F43" s="1134">
        <f t="shared" si="4"/>
        <v>10300000</v>
      </c>
      <c r="G43" s="1130">
        <f t="shared" si="4"/>
        <v>14368760</v>
      </c>
      <c r="H43" s="1411">
        <f t="shared" si="4"/>
        <v>14368760</v>
      </c>
      <c r="I43" s="1133">
        <f t="shared" si="4"/>
        <v>14368760</v>
      </c>
      <c r="J43" s="1134">
        <f t="shared" si="4"/>
        <v>30760000</v>
      </c>
      <c r="K43" s="1130">
        <f t="shared" si="4"/>
        <v>27000000</v>
      </c>
      <c r="L43" s="1411">
        <f t="shared" si="4"/>
        <v>25840000</v>
      </c>
      <c r="M43" s="370"/>
      <c r="Q43" s="252"/>
      <c r="R43" s="253"/>
    </row>
    <row r="44" spans="1:18" ht="11.25" customHeight="1" x14ac:dyDescent="0.25">
      <c r="A44" s="1271" t="s">
        <v>142</v>
      </c>
      <c r="B44" s="1187"/>
      <c r="C44" s="1614">
        <v>40696</v>
      </c>
      <c r="D44" s="1634">
        <v>234506.63</v>
      </c>
      <c r="E44" s="1634"/>
      <c r="F44" s="1053">
        <v>4150000</v>
      </c>
      <c r="G44" s="1053">
        <f>245000+F44</f>
        <v>4395000</v>
      </c>
      <c r="H44" s="1053">
        <f>G44</f>
        <v>4395000</v>
      </c>
      <c r="I44" s="1053">
        <f>H44</f>
        <v>4395000</v>
      </c>
      <c r="J44" s="1614">
        <v>0</v>
      </c>
      <c r="K44" s="1617">
        <v>0</v>
      </c>
      <c r="L44" s="1617"/>
      <c r="M44" s="370"/>
      <c r="Q44" s="252"/>
      <c r="R44" s="253"/>
    </row>
    <row r="45" spans="1:18" ht="11.25" customHeight="1" x14ac:dyDescent="0.25">
      <c r="A45" s="1271" t="s">
        <v>143</v>
      </c>
      <c r="B45" s="1187"/>
      <c r="C45" s="1637">
        <v>15359940</v>
      </c>
      <c r="D45" s="1638">
        <v>7322982</v>
      </c>
      <c r="E45" s="1638">
        <v>34681.699999999997</v>
      </c>
      <c r="F45" s="2610">
        <v>6150000</v>
      </c>
      <c r="G45" s="2610">
        <f>3423760+F45</f>
        <v>9573760</v>
      </c>
      <c r="H45" s="2610">
        <f>G45</f>
        <v>9573760</v>
      </c>
      <c r="I45" s="2610">
        <f>H45</f>
        <v>9573760</v>
      </c>
      <c r="J45" s="1637">
        <f>34760000-4000000</f>
        <v>30760000</v>
      </c>
      <c r="K45" s="1646">
        <v>27000000</v>
      </c>
      <c r="L45" s="1646">
        <v>25840000</v>
      </c>
      <c r="M45" s="370"/>
      <c r="Q45" s="252"/>
      <c r="R45" s="253"/>
    </row>
    <row r="46" spans="1:18" ht="11.25" customHeight="1" x14ac:dyDescent="0.25">
      <c r="A46" s="1271" t="s">
        <v>144</v>
      </c>
      <c r="B46" s="1187"/>
      <c r="C46" s="1614"/>
      <c r="D46" s="1614"/>
      <c r="E46" s="1628">
        <v>12688513.060000001</v>
      </c>
      <c r="F46" s="1053">
        <v>0</v>
      </c>
      <c r="G46" s="1053">
        <v>400000</v>
      </c>
      <c r="H46" s="1053">
        <v>400000</v>
      </c>
      <c r="I46" s="1053">
        <v>400000</v>
      </c>
      <c r="J46" s="1616">
        <v>0</v>
      </c>
      <c r="K46" s="1614">
        <v>0</v>
      </c>
      <c r="L46" s="1617">
        <v>0</v>
      </c>
      <c r="M46" s="370"/>
      <c r="Q46" s="252"/>
      <c r="R46" s="253"/>
    </row>
    <row r="47" spans="1:18" ht="11.25" customHeight="1" x14ac:dyDescent="0.25">
      <c r="A47" s="1270" t="s">
        <v>145</v>
      </c>
      <c r="B47" s="1187"/>
      <c r="C47" s="1130">
        <f>SUM(C48:C52)</f>
        <v>26300927</v>
      </c>
      <c r="D47" s="1130">
        <f t="shared" ref="D47:L47" si="5">SUM(D48:D52)</f>
        <v>612225</v>
      </c>
      <c r="E47" s="1131">
        <f t="shared" si="5"/>
        <v>12837851.75</v>
      </c>
      <c r="F47" s="1132">
        <f t="shared" si="5"/>
        <v>26145810</v>
      </c>
      <c r="G47" s="1130">
        <f t="shared" si="5"/>
        <v>23147679</v>
      </c>
      <c r="H47" s="1133">
        <f t="shared" si="5"/>
        <v>23147679</v>
      </c>
      <c r="I47" s="1132">
        <f t="shared" si="5"/>
        <v>23147679</v>
      </c>
      <c r="J47" s="1134">
        <f t="shared" si="5"/>
        <v>4500000</v>
      </c>
      <c r="K47" s="1130">
        <f t="shared" si="5"/>
        <v>2800000</v>
      </c>
      <c r="L47" s="1411">
        <f t="shared" si="5"/>
        <v>1200000</v>
      </c>
      <c r="M47" s="370"/>
      <c r="Q47" s="252"/>
      <c r="R47" s="253"/>
    </row>
    <row r="48" spans="1:18" ht="11.25" customHeight="1" x14ac:dyDescent="0.25">
      <c r="A48" s="1271" t="s">
        <v>146</v>
      </c>
      <c r="B48" s="1187"/>
      <c r="C48" s="1614">
        <v>4090355</v>
      </c>
      <c r="D48" s="1634">
        <v>435716</v>
      </c>
      <c r="E48" s="1628">
        <f>713060.9+2591000.01+9316084.08</f>
        <v>12620144.99</v>
      </c>
      <c r="F48" s="1053">
        <v>13500000</v>
      </c>
      <c r="G48" s="1053">
        <f>-1710131+F48</f>
        <v>11789869</v>
      </c>
      <c r="H48" s="1053">
        <f>G48</f>
        <v>11789869</v>
      </c>
      <c r="I48" s="1053">
        <f>H48</f>
        <v>11789869</v>
      </c>
      <c r="J48" s="1614">
        <v>2800000</v>
      </c>
      <c r="K48" s="1614">
        <v>2800000</v>
      </c>
      <c r="L48" s="1617">
        <v>1200000</v>
      </c>
      <c r="M48" s="370"/>
      <c r="Q48" s="252"/>
      <c r="R48" s="253"/>
    </row>
    <row r="49" spans="1:18" ht="11.25" customHeight="1" x14ac:dyDescent="0.25">
      <c r="A49" s="1271" t="s">
        <v>147</v>
      </c>
      <c r="B49" s="1187"/>
      <c r="C49" s="1614">
        <v>942636</v>
      </c>
      <c r="D49" s="1634">
        <v>0</v>
      </c>
      <c r="E49" s="1634"/>
      <c r="F49" s="1053">
        <v>7100000</v>
      </c>
      <c r="G49" s="1053">
        <f>2000000+F49</f>
        <v>9100000</v>
      </c>
      <c r="H49" s="1053">
        <f>G49</f>
        <v>9100000</v>
      </c>
      <c r="I49" s="1053">
        <f>H49</f>
        <v>9100000</v>
      </c>
      <c r="J49" s="1614">
        <v>1700000</v>
      </c>
      <c r="K49" s="1614">
        <v>0</v>
      </c>
      <c r="L49" s="1617">
        <v>0</v>
      </c>
      <c r="M49" s="370"/>
      <c r="Q49" s="252"/>
      <c r="R49" s="253"/>
    </row>
    <row r="50" spans="1:18" ht="11.25" customHeight="1" x14ac:dyDescent="0.25">
      <c r="A50" s="1271" t="s">
        <v>148</v>
      </c>
      <c r="B50" s="1187"/>
      <c r="C50" s="1614">
        <v>18103300</v>
      </c>
      <c r="D50" s="1634">
        <v>165239</v>
      </c>
      <c r="E50" s="1628">
        <f>217706.76</f>
        <v>217706.76</v>
      </c>
      <c r="F50" s="1053">
        <v>0</v>
      </c>
      <c r="G50" s="1053">
        <v>1212000</v>
      </c>
      <c r="H50" s="1053">
        <v>1212000</v>
      </c>
      <c r="I50" s="1053">
        <v>1212000</v>
      </c>
      <c r="J50" s="1614">
        <v>0</v>
      </c>
      <c r="K50" s="1617">
        <v>0</v>
      </c>
      <c r="L50" s="1617">
        <v>0</v>
      </c>
      <c r="M50" s="370"/>
      <c r="Q50" s="252"/>
      <c r="R50" s="253"/>
    </row>
    <row r="51" spans="1:18" ht="11.25" customHeight="1" x14ac:dyDescent="0.25">
      <c r="A51" s="1271" t="s">
        <v>1707</v>
      </c>
      <c r="B51" s="1187"/>
      <c r="C51" s="1614">
        <v>2370172</v>
      </c>
      <c r="D51" s="1634">
        <v>11270</v>
      </c>
      <c r="E51" s="1634"/>
      <c r="F51" s="1053">
        <v>4500000</v>
      </c>
      <c r="G51" s="1053">
        <f>-4500000+F51</f>
        <v>0</v>
      </c>
      <c r="H51" s="1053">
        <f>G51</f>
        <v>0</v>
      </c>
      <c r="I51" s="1053">
        <f>H51</f>
        <v>0</v>
      </c>
      <c r="J51" s="1614">
        <v>0</v>
      </c>
      <c r="K51" s="1617">
        <v>0</v>
      </c>
      <c r="L51" s="1617">
        <v>0</v>
      </c>
      <c r="M51" s="370"/>
      <c r="Q51" s="252"/>
      <c r="R51" s="253"/>
    </row>
    <row r="52" spans="1:18" ht="11.25" customHeight="1" x14ac:dyDescent="0.25">
      <c r="A52" s="1271" t="s">
        <v>1786</v>
      </c>
      <c r="B52" s="1187"/>
      <c r="C52" s="1637">
        <v>794464</v>
      </c>
      <c r="D52" s="1638">
        <v>0</v>
      </c>
      <c r="E52" s="1638"/>
      <c r="F52" s="2610">
        <v>1045810</v>
      </c>
      <c r="G52" s="2610">
        <f>F52</f>
        <v>1045810</v>
      </c>
      <c r="H52" s="2610">
        <f>G52</f>
        <v>1045810</v>
      </c>
      <c r="I52" s="2610">
        <f>H52</f>
        <v>1045810</v>
      </c>
      <c r="J52" s="1641">
        <v>0</v>
      </c>
      <c r="K52" s="1637">
        <v>0</v>
      </c>
      <c r="L52" s="1646">
        <v>0</v>
      </c>
      <c r="M52" s="370"/>
      <c r="Q52" s="252"/>
      <c r="R52" s="253"/>
    </row>
    <row r="53" spans="1:18" ht="11.25" customHeight="1" x14ac:dyDescent="0.25">
      <c r="A53" s="1270" t="s">
        <v>149</v>
      </c>
      <c r="B53" s="1129"/>
      <c r="C53" s="1130">
        <f>SUM(C54:C56)</f>
        <v>34815824</v>
      </c>
      <c r="D53" s="1130">
        <f t="shared" ref="D53:L53" si="6">SUM(D54:D56)</f>
        <v>46382130</v>
      </c>
      <c r="E53" s="1131">
        <f t="shared" si="6"/>
        <v>84649962.209999993</v>
      </c>
      <c r="F53" s="1132">
        <f t="shared" si="6"/>
        <v>78747780</v>
      </c>
      <c r="G53" s="1130">
        <f t="shared" si="6"/>
        <v>64301838</v>
      </c>
      <c r="H53" s="1133">
        <f t="shared" si="6"/>
        <v>64301838</v>
      </c>
      <c r="I53" s="1132">
        <f t="shared" si="6"/>
        <v>64301838</v>
      </c>
      <c r="J53" s="1134">
        <f t="shared" si="6"/>
        <v>182726000</v>
      </c>
      <c r="K53" s="1130">
        <f t="shared" si="6"/>
        <v>64120000</v>
      </c>
      <c r="L53" s="1411">
        <f t="shared" si="6"/>
        <v>28400000</v>
      </c>
      <c r="M53" s="370"/>
      <c r="Q53" s="252"/>
      <c r="R53" s="253"/>
    </row>
    <row r="54" spans="1:18" ht="11.25" customHeight="1" x14ac:dyDescent="0.25">
      <c r="A54" s="1271" t="s">
        <v>150</v>
      </c>
      <c r="B54" s="1187"/>
      <c r="C54" s="1614">
        <v>2234530</v>
      </c>
      <c r="D54" s="1634">
        <v>0</v>
      </c>
      <c r="E54" s="1628">
        <f>16114.44+43320</f>
        <v>59434.44</v>
      </c>
      <c r="F54" s="1053">
        <v>0</v>
      </c>
      <c r="G54" s="1053">
        <v>6987268</v>
      </c>
      <c r="H54" s="1053">
        <v>6987268</v>
      </c>
      <c r="I54" s="1053">
        <v>6987268</v>
      </c>
      <c r="J54" s="1616">
        <v>2700000</v>
      </c>
      <c r="K54" s="1614">
        <v>0</v>
      </c>
      <c r="L54" s="1617">
        <v>0</v>
      </c>
      <c r="M54" s="370"/>
      <c r="Q54" s="252"/>
      <c r="R54" s="253"/>
    </row>
    <row r="55" spans="1:18" ht="11.25" customHeight="1" x14ac:dyDescent="0.25">
      <c r="A55" s="1271" t="s">
        <v>151</v>
      </c>
      <c r="B55" s="1187"/>
      <c r="C55" s="1614">
        <v>32581294</v>
      </c>
      <c r="D55" s="1634">
        <v>46382130</v>
      </c>
      <c r="E55" s="1628">
        <f>84586676.3+3851.47</f>
        <v>84590527.769999996</v>
      </c>
      <c r="F55" s="1053">
        <v>78747780</v>
      </c>
      <c r="G55" s="1053">
        <f>-21433210+F55</f>
        <v>57314570</v>
      </c>
      <c r="H55" s="1053">
        <f>G55</f>
        <v>57314570</v>
      </c>
      <c r="I55" s="1053">
        <f>H55</f>
        <v>57314570</v>
      </c>
      <c r="J55" s="1614">
        <f>166026000+12710000+1290000</f>
        <v>180026000</v>
      </c>
      <c r="K55" s="1617">
        <v>64120000</v>
      </c>
      <c r="L55" s="1617">
        <v>28400000</v>
      </c>
      <c r="M55" s="370"/>
      <c r="Q55" s="252"/>
      <c r="R55" s="253"/>
    </row>
    <row r="56" spans="1:18" ht="11.25" customHeight="1" x14ac:dyDescent="0.25">
      <c r="A56" s="1271" t="s">
        <v>152</v>
      </c>
      <c r="B56" s="1187"/>
      <c r="C56" s="1614"/>
      <c r="D56" s="1614"/>
      <c r="E56" s="1634"/>
      <c r="F56" s="1053"/>
      <c r="G56" s="1053"/>
      <c r="H56" s="1053"/>
      <c r="I56" s="1053"/>
      <c r="J56" s="1616"/>
      <c r="K56" s="1614"/>
      <c r="L56" s="1617"/>
      <c r="M56" s="370"/>
      <c r="Q56" s="252"/>
      <c r="R56" s="253"/>
    </row>
    <row r="57" spans="1:18" ht="11.25" customHeight="1" x14ac:dyDescent="0.25">
      <c r="A57" s="1270" t="s">
        <v>153</v>
      </c>
      <c r="B57" s="1129"/>
      <c r="C57" s="1130">
        <f>SUM(C58:C61)</f>
        <v>95411842</v>
      </c>
      <c r="D57" s="1130">
        <f t="shared" ref="D57:L57" si="7">SUM(D58:D61)</f>
        <v>45413403.780000001</v>
      </c>
      <c r="E57" s="1131">
        <f t="shared" si="7"/>
        <v>110226567.43999998</v>
      </c>
      <c r="F57" s="1132">
        <f t="shared" si="7"/>
        <v>95505410</v>
      </c>
      <c r="G57" s="1130">
        <f t="shared" si="7"/>
        <v>185362473</v>
      </c>
      <c r="H57" s="1133">
        <f t="shared" si="7"/>
        <v>185362473</v>
      </c>
      <c r="I57" s="1132">
        <f t="shared" si="7"/>
        <v>185362473</v>
      </c>
      <c r="J57" s="1134">
        <f t="shared" si="7"/>
        <v>254862405</v>
      </c>
      <c r="K57" s="1130">
        <f t="shared" si="7"/>
        <v>160351000</v>
      </c>
      <c r="L57" s="1411">
        <f t="shared" si="7"/>
        <v>186950000</v>
      </c>
      <c r="M57" s="370"/>
      <c r="Q57" s="252"/>
      <c r="R57" s="253"/>
    </row>
    <row r="58" spans="1:18" ht="11.25" customHeight="1" x14ac:dyDescent="0.25">
      <c r="A58" s="1271" t="s">
        <v>652</v>
      </c>
      <c r="B58" s="1187"/>
      <c r="C58" s="1614">
        <v>21458565</v>
      </c>
      <c r="D58" s="1634">
        <v>16591555</v>
      </c>
      <c r="E58" s="1628">
        <v>26696477.649999999</v>
      </c>
      <c r="F58" s="1053">
        <v>9082960</v>
      </c>
      <c r="G58" s="1053">
        <f>91786063-3929000+F58</f>
        <v>96940023</v>
      </c>
      <c r="H58" s="1053">
        <f t="shared" ref="H58:I62" si="8">G58</f>
        <v>96940023</v>
      </c>
      <c r="I58" s="1053">
        <f t="shared" si="8"/>
        <v>96940023</v>
      </c>
      <c r="J58" s="1616">
        <f>281500000-100000000-10000000</f>
        <v>171500000</v>
      </c>
      <c r="K58" s="1614">
        <f>239372000-180000000</f>
        <v>59372000</v>
      </c>
      <c r="L58" s="1617">
        <f>292210000-250000000</f>
        <v>42210000</v>
      </c>
      <c r="M58" s="370"/>
      <c r="Q58" s="252"/>
      <c r="R58" s="253"/>
    </row>
    <row r="59" spans="1:18" ht="11.25" customHeight="1" x14ac:dyDescent="0.25">
      <c r="A59" s="1271" t="s">
        <v>953</v>
      </c>
      <c r="B59" s="1187"/>
      <c r="C59" s="1614">
        <v>16849925</v>
      </c>
      <c r="D59" s="1634">
        <v>12859968</v>
      </c>
      <c r="E59" s="1628">
        <f>25000776.34+38323635.96</f>
        <v>63324412.299999997</v>
      </c>
      <c r="F59" s="1053">
        <v>43169450</v>
      </c>
      <c r="G59" s="1053">
        <f>2000000+F59</f>
        <v>45169450</v>
      </c>
      <c r="H59" s="1053">
        <f t="shared" si="8"/>
        <v>45169450</v>
      </c>
      <c r="I59" s="1053">
        <f t="shared" si="8"/>
        <v>45169450</v>
      </c>
      <c r="J59" s="1616">
        <v>28175000</v>
      </c>
      <c r="K59" s="1616">
        <v>48879000</v>
      </c>
      <c r="L59" s="1617">
        <v>73840000</v>
      </c>
      <c r="M59" s="370"/>
      <c r="Q59" s="252"/>
      <c r="R59" s="253"/>
    </row>
    <row r="60" spans="1:18" ht="11.25" customHeight="1" x14ac:dyDescent="0.25">
      <c r="A60" s="1271" t="s">
        <v>1130</v>
      </c>
      <c r="B60" s="1187"/>
      <c r="C60" s="1637">
        <v>53476958</v>
      </c>
      <c r="D60" s="1638">
        <v>15490822</v>
      </c>
      <c r="E60" s="1638"/>
      <c r="F60" s="2610">
        <v>41200000</v>
      </c>
      <c r="G60" s="2610">
        <f>F60</f>
        <v>41200000</v>
      </c>
      <c r="H60" s="2610">
        <f t="shared" si="8"/>
        <v>41200000</v>
      </c>
      <c r="I60" s="2610">
        <f t="shared" si="8"/>
        <v>41200000</v>
      </c>
      <c r="J60" s="1616">
        <v>47096555</v>
      </c>
      <c r="K60" s="1616">
        <v>44600000</v>
      </c>
      <c r="L60" s="1646">
        <v>63400000</v>
      </c>
      <c r="M60" s="370"/>
      <c r="Q60" s="252"/>
      <c r="R60" s="253"/>
    </row>
    <row r="61" spans="1:18" ht="11.25" customHeight="1" x14ac:dyDescent="0.25">
      <c r="A61" s="1271" t="s">
        <v>1131</v>
      </c>
      <c r="B61" s="1187"/>
      <c r="C61" s="1614">
        <v>3626394</v>
      </c>
      <c r="D61" s="1634">
        <v>471058.78</v>
      </c>
      <c r="E61" s="1628">
        <v>20205677.489999998</v>
      </c>
      <c r="F61" s="1053">
        <v>2053000</v>
      </c>
      <c r="G61" s="1053">
        <f>F61</f>
        <v>2053000</v>
      </c>
      <c r="H61" s="1053">
        <f t="shared" si="8"/>
        <v>2053000</v>
      </c>
      <c r="I61" s="1053">
        <f t="shared" si="8"/>
        <v>2053000</v>
      </c>
      <c r="J61" s="1616">
        <v>8090850</v>
      </c>
      <c r="K61" s="1616">
        <v>7500000</v>
      </c>
      <c r="L61" s="1617">
        <v>7500000</v>
      </c>
      <c r="M61" s="370"/>
      <c r="Q61" s="252"/>
      <c r="R61" s="253"/>
    </row>
    <row r="62" spans="1:18" ht="11.25" customHeight="1" x14ac:dyDescent="0.25">
      <c r="A62" s="1270" t="s">
        <v>292</v>
      </c>
      <c r="B62" s="1129"/>
      <c r="C62" s="1647">
        <v>4104264</v>
      </c>
      <c r="D62" s="1648">
        <v>11183504.789999999</v>
      </c>
      <c r="E62" s="1628">
        <f>1590364.21+215108.24+1319940</f>
        <v>3125412.45</v>
      </c>
      <c r="F62" s="1053">
        <v>19315000</v>
      </c>
      <c r="G62" s="1053">
        <f>3260000+F62</f>
        <v>22575000</v>
      </c>
      <c r="H62" s="1053">
        <f t="shared" si="8"/>
        <v>22575000</v>
      </c>
      <c r="I62" s="1053">
        <f t="shared" si="8"/>
        <v>22575000</v>
      </c>
      <c r="J62" s="1651">
        <v>2810000</v>
      </c>
      <c r="K62" s="1652">
        <v>0</v>
      </c>
      <c r="L62" s="1652">
        <v>0</v>
      </c>
      <c r="M62" s="370"/>
      <c r="Q62" s="252"/>
      <c r="R62" s="253"/>
    </row>
    <row r="63" spans="1:18" x14ac:dyDescent="0.25">
      <c r="A63" s="332" t="s">
        <v>1238</v>
      </c>
      <c r="B63" s="306">
        <v>3</v>
      </c>
      <c r="C63" s="227">
        <f>C43+C47+C53+C57+C62</f>
        <v>176033493</v>
      </c>
      <c r="D63" s="227">
        <f t="shared" ref="D63:K63" si="9">D43+D47+D53+D57+D62</f>
        <v>111148752.19999999</v>
      </c>
      <c r="E63" s="352">
        <f t="shared" si="9"/>
        <v>223562988.60999995</v>
      </c>
      <c r="F63" s="353">
        <f t="shared" si="9"/>
        <v>230014000</v>
      </c>
      <c r="G63" s="227">
        <f t="shared" si="9"/>
        <v>309755750</v>
      </c>
      <c r="H63" s="352">
        <f t="shared" si="9"/>
        <v>309755750</v>
      </c>
      <c r="I63" s="226">
        <f t="shared" si="9"/>
        <v>309755750</v>
      </c>
      <c r="J63" s="353">
        <f t="shared" si="9"/>
        <v>475658405</v>
      </c>
      <c r="K63" s="227">
        <f t="shared" si="9"/>
        <v>254271000</v>
      </c>
      <c r="L63" s="352">
        <f>L43+L47+L53+L57+L62</f>
        <v>242390000</v>
      </c>
      <c r="M63" s="370"/>
    </row>
    <row r="64" spans="1:18" ht="5.15" customHeight="1" x14ac:dyDescent="0.25">
      <c r="A64" s="197"/>
      <c r="B64" s="293"/>
      <c r="C64" s="218"/>
      <c r="D64" s="218"/>
      <c r="E64" s="217"/>
      <c r="F64" s="220"/>
      <c r="G64" s="218"/>
      <c r="H64" s="219"/>
      <c r="I64" s="217"/>
      <c r="J64" s="220"/>
      <c r="K64" s="218"/>
      <c r="L64" s="219"/>
      <c r="M64" s="370"/>
    </row>
    <row r="65" spans="1:13" ht="11.25" customHeight="1" x14ac:dyDescent="0.25">
      <c r="A65" s="181" t="s">
        <v>490</v>
      </c>
      <c r="B65" s="293"/>
      <c r="C65" s="203"/>
      <c r="D65" s="203"/>
      <c r="E65" s="202"/>
      <c r="F65" s="205"/>
      <c r="G65" s="203"/>
      <c r="H65" s="204"/>
      <c r="I65" s="202"/>
      <c r="J65" s="205"/>
      <c r="K65" s="203"/>
      <c r="L65" s="204"/>
      <c r="M65" s="370"/>
    </row>
    <row r="66" spans="1:13" ht="11.25" customHeight="1" x14ac:dyDescent="0.25">
      <c r="A66" s="418" t="s">
        <v>1545</v>
      </c>
      <c r="B66" s="293"/>
      <c r="C66" s="1614">
        <v>77036695</v>
      </c>
      <c r="D66" s="1636">
        <v>73019568</v>
      </c>
      <c r="E66" s="1636">
        <v>123053300</v>
      </c>
      <c r="F66" s="1618">
        <v>208599000</v>
      </c>
      <c r="G66" s="1053">
        <f>-48114000+F66</f>
        <v>160485000</v>
      </c>
      <c r="H66" s="1053">
        <f>G66</f>
        <v>160485000</v>
      </c>
      <c r="I66" s="1053">
        <f>H66</f>
        <v>160485000</v>
      </c>
      <c r="J66" s="1614">
        <v>403158405</v>
      </c>
      <c r="K66" s="1634">
        <v>194271000</v>
      </c>
      <c r="L66" s="1634">
        <v>192390000</v>
      </c>
      <c r="M66" s="370"/>
    </row>
    <row r="67" spans="1:13" ht="11.25" customHeight="1" x14ac:dyDescent="0.25">
      <c r="A67" s="418" t="s">
        <v>542</v>
      </c>
      <c r="B67" s="293"/>
      <c r="C67" s="1614">
        <v>1370540</v>
      </c>
      <c r="D67" s="1636">
        <v>11429230</v>
      </c>
      <c r="E67" s="1636">
        <f>25480179+140350</f>
        <v>25620529</v>
      </c>
      <c r="F67" s="1618">
        <v>21415000</v>
      </c>
      <c r="G67" s="1053">
        <f>34818734+F67</f>
        <v>56233734</v>
      </c>
      <c r="H67" s="1053">
        <f>G67</f>
        <v>56233734</v>
      </c>
      <c r="I67" s="1053">
        <f>H67</f>
        <v>56233734</v>
      </c>
      <c r="J67" s="1614">
        <v>12500000</v>
      </c>
      <c r="K67" s="1634">
        <v>0</v>
      </c>
      <c r="L67" s="1634">
        <v>0</v>
      </c>
      <c r="M67" s="370"/>
    </row>
    <row r="68" spans="1:13" ht="11.25" customHeight="1" x14ac:dyDescent="0.25">
      <c r="A68" s="418" t="s">
        <v>543</v>
      </c>
      <c r="B68" s="293"/>
      <c r="C68" s="1637">
        <v>0</v>
      </c>
      <c r="D68" s="1637">
        <v>0</v>
      </c>
      <c r="E68" s="1637">
        <v>0</v>
      </c>
      <c r="F68" s="1618">
        <v>0</v>
      </c>
      <c r="G68" s="1053"/>
      <c r="H68" s="1053"/>
      <c r="I68" s="1053"/>
      <c r="J68" s="1639">
        <v>0</v>
      </c>
      <c r="K68" s="1637">
        <v>0</v>
      </c>
      <c r="L68" s="1638">
        <v>0</v>
      </c>
      <c r="M68" s="370"/>
    </row>
    <row r="69" spans="1:13" ht="11.25" customHeight="1" x14ac:dyDescent="0.25">
      <c r="A69" s="1280" t="s">
        <v>1036</v>
      </c>
      <c r="B69" s="293"/>
      <c r="C69" s="1637">
        <v>0</v>
      </c>
      <c r="D69" s="1640">
        <v>205314.49</v>
      </c>
      <c r="E69" s="1640">
        <v>0</v>
      </c>
      <c r="F69" s="1618">
        <v>0</v>
      </c>
      <c r="G69" s="1053"/>
      <c r="H69" s="1053"/>
      <c r="I69" s="1053"/>
      <c r="J69" s="1639">
        <v>0</v>
      </c>
      <c r="K69" s="1637">
        <v>0</v>
      </c>
      <c r="L69" s="1638">
        <v>0</v>
      </c>
      <c r="M69" s="370"/>
    </row>
    <row r="70" spans="1:13" ht="11.25" customHeight="1" x14ac:dyDescent="0.25">
      <c r="A70" s="1547" t="s">
        <v>1344</v>
      </c>
      <c r="B70" s="293">
        <v>4</v>
      </c>
      <c r="C70" s="213">
        <f t="shared" ref="C70:L70" si="10">SUM(C66:C69)</f>
        <v>78407235</v>
      </c>
      <c r="D70" s="213">
        <f t="shared" si="10"/>
        <v>84654112.489999995</v>
      </c>
      <c r="E70" s="212">
        <f t="shared" si="10"/>
        <v>148673829</v>
      </c>
      <c r="F70" s="215">
        <f t="shared" si="10"/>
        <v>230014000</v>
      </c>
      <c r="G70" s="213">
        <f t="shared" si="10"/>
        <v>216718734</v>
      </c>
      <c r="H70" s="214">
        <f t="shared" si="10"/>
        <v>216718734</v>
      </c>
      <c r="I70" s="212">
        <f t="shared" si="10"/>
        <v>216718734</v>
      </c>
      <c r="J70" s="215">
        <f t="shared" si="10"/>
        <v>415658405</v>
      </c>
      <c r="K70" s="213">
        <f t="shared" si="10"/>
        <v>194271000</v>
      </c>
      <c r="L70" s="214">
        <f t="shared" si="10"/>
        <v>192390000</v>
      </c>
      <c r="M70" s="1552"/>
    </row>
    <row r="71" spans="1:13" ht="11.25" customHeight="1" x14ac:dyDescent="0.25">
      <c r="A71" s="417" t="s">
        <v>457</v>
      </c>
      <c r="B71" s="293">
        <v>5</v>
      </c>
      <c r="C71" s="1614">
        <v>0</v>
      </c>
      <c r="D71" s="1636">
        <v>0</v>
      </c>
      <c r="E71" s="1636">
        <v>0</v>
      </c>
      <c r="F71" s="1635">
        <v>0</v>
      </c>
      <c r="G71" s="1053">
        <v>135193</v>
      </c>
      <c r="H71" s="1053">
        <v>135193</v>
      </c>
      <c r="I71" s="1053">
        <v>135193</v>
      </c>
      <c r="J71" s="1635">
        <v>0</v>
      </c>
      <c r="K71" s="1614">
        <v>0</v>
      </c>
      <c r="L71" s="1634"/>
      <c r="M71" s="370"/>
    </row>
    <row r="72" spans="1:13" ht="11.25" customHeight="1" x14ac:dyDescent="0.25">
      <c r="A72" s="417" t="s">
        <v>1280</v>
      </c>
      <c r="B72" s="293">
        <v>6</v>
      </c>
      <c r="C72" s="1614">
        <v>97626257</v>
      </c>
      <c r="D72" s="1636">
        <f>26494668-27.2</f>
        <v>26494640.800000001</v>
      </c>
      <c r="E72" s="1636">
        <v>0</v>
      </c>
      <c r="F72" s="1635">
        <v>0</v>
      </c>
      <c r="G72" s="1053">
        <v>47075219</v>
      </c>
      <c r="H72" s="1053">
        <v>47075219</v>
      </c>
      <c r="I72" s="1053">
        <v>47075219</v>
      </c>
      <c r="J72" s="1635">
        <v>0</v>
      </c>
      <c r="K72" s="1614">
        <v>0</v>
      </c>
      <c r="L72" s="1634"/>
      <c r="M72" s="370"/>
    </row>
    <row r="73" spans="1:13" ht="11.25" customHeight="1" x14ac:dyDescent="0.25">
      <c r="A73" s="417" t="s">
        <v>491</v>
      </c>
      <c r="B73" s="293"/>
      <c r="C73" s="1614">
        <v>0</v>
      </c>
      <c r="D73" s="1636">
        <v>0</v>
      </c>
      <c r="E73" s="1636">
        <f>74889456+1.1</f>
        <v>74889457.099999994</v>
      </c>
      <c r="F73" s="1635">
        <v>0</v>
      </c>
      <c r="G73" s="1053">
        <v>45826604</v>
      </c>
      <c r="H73" s="1053">
        <v>45826604</v>
      </c>
      <c r="I73" s="1053">
        <v>45826604</v>
      </c>
      <c r="J73" s="1635">
        <v>60000103</v>
      </c>
      <c r="K73" s="1614">
        <v>60000000</v>
      </c>
      <c r="L73" s="1634">
        <v>50000000</v>
      </c>
      <c r="M73" s="370"/>
    </row>
    <row r="74" spans="1:13" x14ac:dyDescent="0.25">
      <c r="A74" s="224" t="s">
        <v>781</v>
      </c>
      <c r="B74" s="306">
        <v>7</v>
      </c>
      <c r="C74" s="230">
        <f t="shared" ref="C74:L74" si="11">SUM(C70:C73)</f>
        <v>176033492</v>
      </c>
      <c r="D74" s="230">
        <f t="shared" si="11"/>
        <v>111148753.28999999</v>
      </c>
      <c r="E74" s="231">
        <f t="shared" si="11"/>
        <v>223563286.09999999</v>
      </c>
      <c r="F74" s="229">
        <f t="shared" si="11"/>
        <v>230014000</v>
      </c>
      <c r="G74" s="230">
        <f t="shared" si="11"/>
        <v>309755750</v>
      </c>
      <c r="H74" s="228">
        <f t="shared" si="11"/>
        <v>309755750</v>
      </c>
      <c r="I74" s="231">
        <f t="shared" si="11"/>
        <v>309755750</v>
      </c>
      <c r="J74" s="229">
        <f t="shared" si="11"/>
        <v>475658508</v>
      </c>
      <c r="K74" s="230">
        <f t="shared" si="11"/>
        <v>254271000</v>
      </c>
      <c r="L74" s="228">
        <f t="shared" si="11"/>
        <v>242390000</v>
      </c>
      <c r="M74" s="370"/>
    </row>
    <row r="75" spans="1:13" s="709" customFormat="1" x14ac:dyDescent="0.25">
      <c r="A75" s="1232" t="str">
        <f>head27a</f>
        <v>References</v>
      </c>
      <c r="B75" s="1193"/>
      <c r="C75" s="1196"/>
      <c r="D75" s="1196"/>
      <c r="E75" s="1196"/>
      <c r="F75" s="1196"/>
      <c r="G75" s="1196"/>
      <c r="H75" s="1196"/>
      <c r="I75" s="1196"/>
      <c r="J75" s="1196"/>
      <c r="K75" s="1196"/>
      <c r="L75" s="1196"/>
      <c r="M75" s="1086"/>
    </row>
    <row r="76" spans="1:13" s="709" customFormat="1" ht="12" customHeight="1" x14ac:dyDescent="0.25">
      <c r="A76" s="1194" t="s">
        <v>193</v>
      </c>
      <c r="B76" s="1193"/>
      <c r="C76" s="1195"/>
      <c r="D76" s="1195"/>
      <c r="E76" s="1196"/>
      <c r="F76" s="1196"/>
      <c r="G76" s="1196"/>
      <c r="H76" s="1196"/>
      <c r="I76" s="1196"/>
      <c r="J76" s="1196"/>
      <c r="K76" s="1196"/>
      <c r="L76" s="1196"/>
      <c r="M76" s="1086"/>
    </row>
    <row r="77" spans="1:13" s="709" customFormat="1" ht="12" customHeight="1" x14ac:dyDescent="0.25">
      <c r="A77" s="2694" t="s">
        <v>1037</v>
      </c>
      <c r="B77" s="2694"/>
      <c r="C77" s="2694"/>
      <c r="D77" s="2694"/>
      <c r="E77" s="2694"/>
      <c r="F77" s="2694"/>
      <c r="G77" s="2694"/>
      <c r="H77" s="2694"/>
      <c r="I77" s="2694"/>
      <c r="J77" s="2694"/>
      <c r="K77" s="2694"/>
      <c r="L77" s="2694"/>
      <c r="M77" s="1086"/>
    </row>
    <row r="78" spans="1:13" s="709" customFormat="1" ht="12" customHeight="1" x14ac:dyDescent="0.25">
      <c r="A78" s="2694" t="s">
        <v>1038</v>
      </c>
      <c r="B78" s="2694"/>
      <c r="C78" s="2694"/>
      <c r="D78" s="2694"/>
      <c r="E78" s="2694"/>
      <c r="F78" s="2694"/>
      <c r="G78" s="2694"/>
      <c r="H78" s="2694"/>
      <c r="I78" s="2694"/>
      <c r="J78" s="2694"/>
      <c r="K78" s="2694"/>
      <c r="L78" s="2694"/>
      <c r="M78" s="1086"/>
    </row>
    <row r="79" spans="1:13" s="709" customFormat="1" ht="12" customHeight="1" x14ac:dyDescent="0.25">
      <c r="A79" s="2695" t="s">
        <v>1039</v>
      </c>
      <c r="B79" s="2695"/>
      <c r="C79" s="2695"/>
      <c r="D79" s="2695"/>
      <c r="E79" s="2695"/>
      <c r="F79" s="2695"/>
      <c r="G79" s="2695"/>
      <c r="H79" s="2695"/>
      <c r="I79" s="2695"/>
      <c r="J79" s="2695"/>
      <c r="K79" s="2695"/>
      <c r="L79" s="2695"/>
      <c r="M79" s="1086"/>
    </row>
    <row r="80" spans="1:13" s="709" customFormat="1" ht="12" customHeight="1" x14ac:dyDescent="0.25">
      <c r="A80" s="1194" t="s">
        <v>194</v>
      </c>
      <c r="B80" s="1266"/>
      <c r="C80" s="1266"/>
      <c r="D80" s="1266"/>
      <c r="E80" s="1266"/>
      <c r="F80" s="1266"/>
      <c r="G80" s="1266"/>
      <c r="H80" s="1266"/>
      <c r="I80" s="1266"/>
      <c r="J80" s="1266"/>
      <c r="K80" s="1266"/>
      <c r="L80" s="1266"/>
      <c r="M80" s="1086"/>
    </row>
    <row r="81" spans="1:13" s="709" customFormat="1" ht="12" customHeight="1" x14ac:dyDescent="0.25">
      <c r="A81" s="1194" t="s">
        <v>1040</v>
      </c>
      <c r="B81" s="1266"/>
      <c r="C81" s="1266"/>
      <c r="D81" s="1266"/>
      <c r="E81" s="1266"/>
      <c r="F81" s="1266"/>
      <c r="G81" s="1266"/>
      <c r="H81" s="1266"/>
      <c r="I81" s="1266"/>
      <c r="J81" s="1266"/>
      <c r="K81" s="1266"/>
      <c r="L81" s="1266"/>
      <c r="M81" s="1086"/>
    </row>
    <row r="82" spans="1:13" s="709" customFormat="1" ht="12" customHeight="1" x14ac:dyDescent="0.25">
      <c r="A82" s="1194" t="s">
        <v>195</v>
      </c>
      <c r="B82" s="1193"/>
      <c r="C82" s="1195"/>
      <c r="D82" s="1195"/>
      <c r="E82" s="1196"/>
      <c r="F82" s="1196"/>
      <c r="G82" s="1196"/>
      <c r="H82" s="1196"/>
      <c r="I82" s="1196"/>
      <c r="J82" s="1196"/>
      <c r="K82" s="1196"/>
      <c r="L82" s="1196"/>
      <c r="M82" s="1086"/>
    </row>
    <row r="83" spans="1:13" s="1060" customFormat="1" ht="12" customHeight="1" x14ac:dyDescent="0.25">
      <c r="A83" s="2693" t="s">
        <v>1442</v>
      </c>
      <c r="B83" s="2693"/>
      <c r="C83" s="2693"/>
      <c r="D83" s="2693"/>
      <c r="E83" s="2693"/>
      <c r="F83" s="2693"/>
      <c r="G83" s="2693"/>
      <c r="H83" s="2693"/>
      <c r="I83" s="2693"/>
      <c r="J83" s="2693"/>
      <c r="K83" s="2693"/>
      <c r="L83" s="2693"/>
      <c r="M83" s="1553"/>
    </row>
    <row r="84" spans="1:13" s="1060" customFormat="1" ht="11.25" customHeight="1" x14ac:dyDescent="0.25">
      <c r="M84" s="1553"/>
    </row>
    <row r="85" spans="1:13" ht="11.25" customHeight="1" x14ac:dyDescent="0.25">
      <c r="A85" s="288" t="s">
        <v>295</v>
      </c>
      <c r="B85" s="243"/>
      <c r="C85" s="338">
        <f>C40-C74</f>
        <v>0</v>
      </c>
      <c r="D85" s="338">
        <f t="shared" ref="D85:L85" si="12">D40-D74</f>
        <v>-9.9999904632568359E-3</v>
      </c>
      <c r="E85" s="339">
        <f t="shared" si="12"/>
        <v>0</v>
      </c>
      <c r="F85" s="340">
        <f t="shared" si="12"/>
        <v>0</v>
      </c>
      <c r="G85" s="339">
        <f t="shared" si="12"/>
        <v>0</v>
      </c>
      <c r="H85" s="339">
        <f t="shared" si="12"/>
        <v>0</v>
      </c>
      <c r="I85" s="339">
        <f t="shared" si="12"/>
        <v>0</v>
      </c>
      <c r="J85" s="339">
        <f t="shared" si="12"/>
        <v>0</v>
      </c>
      <c r="K85" s="339">
        <f t="shared" si="12"/>
        <v>0</v>
      </c>
      <c r="L85" s="339">
        <f t="shared" si="12"/>
        <v>0</v>
      </c>
    </row>
    <row r="86" spans="1:13" ht="11.25" customHeight="1" x14ac:dyDescent="0.25">
      <c r="A86" s="288"/>
      <c r="C86" s="338"/>
      <c r="D86" s="338"/>
      <c r="E86" s="339"/>
      <c r="F86" s="340"/>
      <c r="G86" s="339"/>
      <c r="H86" s="339"/>
      <c r="I86" s="339"/>
      <c r="J86" s="339"/>
      <c r="K86" s="339"/>
      <c r="L86" s="339"/>
    </row>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row r="95" spans="1:13" ht="11.25" customHeight="1" x14ac:dyDescent="0.25"/>
    <row r="96" spans="1:13" ht="11.25" customHeight="1" x14ac:dyDescent="0.25"/>
    <row r="97" spans="2:2" ht="11.25" customHeight="1" x14ac:dyDescent="0.25">
      <c r="B97" s="149"/>
    </row>
    <row r="98" spans="2:2" ht="11.25" customHeight="1" x14ac:dyDescent="0.25">
      <c r="B98" s="149"/>
    </row>
    <row r="99" spans="2:2" ht="11.25" customHeight="1" x14ac:dyDescent="0.25">
      <c r="B99" s="149"/>
    </row>
    <row r="100" spans="2:2" ht="11.25" customHeight="1" x14ac:dyDescent="0.25">
      <c r="B100" s="149"/>
    </row>
    <row r="101" spans="2:2" ht="11.25" customHeight="1" x14ac:dyDescent="0.25">
      <c r="B101" s="149"/>
    </row>
    <row r="102" spans="2:2" ht="11.25" customHeight="1" x14ac:dyDescent="0.25">
      <c r="B102" s="149"/>
    </row>
    <row r="103" spans="2:2" ht="11.25" customHeight="1" x14ac:dyDescent="0.25">
      <c r="B103" s="149"/>
    </row>
    <row r="104" spans="2:2" ht="11.25" customHeight="1" x14ac:dyDescent="0.25">
      <c r="B104" s="149"/>
    </row>
    <row r="105" spans="2:2" ht="11.25" customHeight="1" x14ac:dyDescent="0.25">
      <c r="B105" s="149"/>
    </row>
    <row r="106" spans="2:2" ht="11.25" customHeight="1" x14ac:dyDescent="0.25">
      <c r="B106" s="149"/>
    </row>
    <row r="107" spans="2:2" ht="11.25" customHeight="1" x14ac:dyDescent="0.25">
      <c r="B107" s="149"/>
    </row>
    <row r="108" spans="2:2" ht="11.25" customHeight="1" x14ac:dyDescent="0.25">
      <c r="B108" s="149"/>
    </row>
    <row r="109" spans="2:2" ht="11.25" customHeight="1" x14ac:dyDescent="0.25">
      <c r="B109" s="149"/>
    </row>
    <row r="110" spans="2:2" ht="11.25" customHeight="1" x14ac:dyDescent="0.25">
      <c r="B110" s="149"/>
    </row>
    <row r="111" spans="2:2" ht="11.25" customHeight="1" x14ac:dyDescent="0.25">
      <c r="B111" s="149"/>
    </row>
    <row r="112" spans="2:2" ht="11.25" customHeight="1" x14ac:dyDescent="0.25">
      <c r="B112" s="149"/>
    </row>
    <row r="113" spans="2:2" ht="11.25" customHeight="1" x14ac:dyDescent="0.25">
      <c r="B113" s="149"/>
    </row>
    <row r="114" spans="2:2" ht="11.25" customHeight="1" x14ac:dyDescent="0.25">
      <c r="B114" s="149"/>
    </row>
    <row r="115" spans="2:2" ht="11.25" customHeight="1" x14ac:dyDescent="0.25">
      <c r="B115" s="149"/>
    </row>
    <row r="116" spans="2:2" ht="11.25" customHeight="1" x14ac:dyDescent="0.25">
      <c r="B116" s="149"/>
    </row>
    <row r="117" spans="2:2" ht="11.25" customHeight="1" x14ac:dyDescent="0.25">
      <c r="B117" s="149"/>
    </row>
    <row r="118" spans="2:2" ht="11.25" customHeight="1" x14ac:dyDescent="0.25">
      <c r="B118" s="149"/>
    </row>
    <row r="119" spans="2:2" ht="11.25" customHeight="1" x14ac:dyDescent="0.25">
      <c r="B119" s="149"/>
    </row>
    <row r="120" spans="2:2" ht="11.25" customHeight="1" x14ac:dyDescent="0.25">
      <c r="B120" s="149"/>
    </row>
  </sheetData>
  <sheetProtection password="C646" sheet="1" objects="1" scenarios="1"/>
  <mergeCells count="6">
    <mergeCell ref="J2:L2"/>
    <mergeCell ref="F2:I2"/>
    <mergeCell ref="A83:L83"/>
    <mergeCell ref="A78:L78"/>
    <mergeCell ref="A77:L77"/>
    <mergeCell ref="A79:L79"/>
  </mergeCells>
  <phoneticPr fontId="2" type="noConversion"/>
  <printOptions horizontalCentered="1"/>
  <pageMargins left="0" right="0" top="0.78740157480314965" bottom="0.59055118110236227" header="0.51181102362204722" footer="0.43307086614173229"/>
  <pageSetup paperSize="9" scale="73"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4"/>
    <pageSetUpPr fitToPage="1"/>
  </sheetPr>
  <dimension ref="A1:X342"/>
  <sheetViews>
    <sheetView showGridLines="0" showZeros="0" topLeftCell="A204" zoomScaleNormal="100" workbookViewId="0">
      <selection activeCell="J346" sqref="J346"/>
    </sheetView>
  </sheetViews>
  <sheetFormatPr defaultColWidth="9.1796875" defaultRowHeight="10.5" x14ac:dyDescent="0.25"/>
  <cols>
    <col min="1" max="1" width="30.7265625" style="149" customWidth="1"/>
    <col min="2" max="2" width="3" style="247" customWidth="1"/>
    <col min="3" max="8" width="9.26953125" style="149" customWidth="1"/>
    <col min="9" max="9" width="9.1796875" style="149" customWidth="1"/>
    <col min="10" max="12" width="9.26953125" style="149" customWidth="1"/>
    <col min="13" max="13" width="3.54296875" style="149" customWidth="1"/>
    <col min="14" max="14" width="10.1796875" style="149" customWidth="1"/>
    <col min="15" max="15" width="9.81640625" style="149" customWidth="1"/>
    <col min="16" max="16" width="9.54296875" style="149" customWidth="1"/>
    <col min="17" max="17" width="10" style="149" customWidth="1"/>
    <col min="18" max="18" width="10.1796875" style="149" customWidth="1"/>
    <col min="19" max="19" width="9.81640625" style="149" customWidth="1"/>
    <col min="20" max="20" width="9.54296875" style="149" customWidth="1"/>
    <col min="21" max="21" width="10" style="149" customWidth="1"/>
    <col min="22" max="22" width="9.54296875" style="149" customWidth="1"/>
    <col min="23" max="24" width="9.81640625" style="149" customWidth="1"/>
    <col min="25" max="16384" width="9.1796875" style="149"/>
  </cols>
  <sheetData>
    <row r="1" spans="1:24" s="179" customFormat="1" ht="13" x14ac:dyDescent="0.3">
      <c r="A1" s="147" t="str">
        <f>muni&amp;" - "&amp;Approve5</f>
        <v>KZN225 Msunduzi - Table A5 Consolidated Budgeted Capital Expenditure by vote, standard classification and funding</v>
      </c>
      <c r="B1" s="147"/>
      <c r="C1" s="147"/>
      <c r="D1" s="147"/>
      <c r="E1" s="147"/>
      <c r="F1" s="147"/>
      <c r="G1" s="147"/>
      <c r="H1" s="147"/>
      <c r="I1" s="147"/>
      <c r="J1" s="147"/>
      <c r="K1" s="147"/>
      <c r="L1" s="147"/>
    </row>
    <row r="2" spans="1:24" ht="28.5" customHeight="1" x14ac:dyDescent="0.25">
      <c r="A2" s="975" t="str">
        <f>Vdesc</f>
        <v>Vote Description</v>
      </c>
      <c r="B2" s="419" t="str">
        <f>head27</f>
        <v>Ref</v>
      </c>
      <c r="C2" s="150" t="str">
        <f>head1b</f>
        <v>2009/10</v>
      </c>
      <c r="D2" s="150" t="str">
        <f>head1A</f>
        <v>2010/11</v>
      </c>
      <c r="E2" s="146" t="str">
        <f>Head1</f>
        <v>2011/12</v>
      </c>
      <c r="F2" s="2677" t="str">
        <f>Head2</f>
        <v>Current Year 2012/13</v>
      </c>
      <c r="G2" s="2678"/>
      <c r="H2" s="2678"/>
      <c r="I2" s="2678"/>
      <c r="J2" s="2674" t="str">
        <f>Head3</f>
        <v>2013/14 Medium Term Revenue &amp; Expenditure Framework</v>
      </c>
      <c r="K2" s="2675"/>
      <c r="L2" s="2676"/>
      <c r="N2" s="2674" t="s">
        <v>2218</v>
      </c>
      <c r="O2" s="2675"/>
      <c r="P2" s="2675"/>
      <c r="Q2" s="2676"/>
      <c r="R2" s="2674" t="s">
        <v>2219</v>
      </c>
      <c r="S2" s="2675"/>
      <c r="T2" s="2675"/>
      <c r="U2" s="2676"/>
      <c r="V2" s="2674" t="s">
        <v>2220</v>
      </c>
      <c r="W2" s="2675"/>
      <c r="X2" s="2676"/>
    </row>
    <row r="3" spans="1:24" ht="31.5" x14ac:dyDescent="0.25">
      <c r="A3" s="180" t="s">
        <v>665</v>
      </c>
      <c r="B3" s="290">
        <v>1</v>
      </c>
      <c r="C3" s="390" t="str">
        <f>Head5</f>
        <v>Audited Outcome</v>
      </c>
      <c r="D3" s="390" t="str">
        <f>Head5</f>
        <v>Audited Outcome</v>
      </c>
      <c r="E3" s="391" t="str">
        <f>Head5</f>
        <v>Audited Outcome</v>
      </c>
      <c r="F3" s="299" t="str">
        <f>Head6</f>
        <v>Original Budget</v>
      </c>
      <c r="G3" s="390" t="str">
        <f>Head7</f>
        <v>Adjusted Budget</v>
      </c>
      <c r="H3" s="391" t="str">
        <f>Head8</f>
        <v>Full Year Forecast</v>
      </c>
      <c r="I3" s="389" t="str">
        <f>Head5b</f>
        <v>Pre-audit outcome</v>
      </c>
      <c r="J3" s="299" t="str">
        <f>Head9</f>
        <v>Budget Year 2013/14</v>
      </c>
      <c r="K3" s="390" t="str">
        <f>Head10</f>
        <v>Budget Year +1 2014/15</v>
      </c>
      <c r="L3" s="391" t="str">
        <f>Head11</f>
        <v>Budget Year +2 2015/16</v>
      </c>
      <c r="N3" s="299" t="s">
        <v>2221</v>
      </c>
      <c r="O3" s="390" t="s">
        <v>2222</v>
      </c>
      <c r="P3" s="391" t="s">
        <v>2227</v>
      </c>
      <c r="Q3" s="389" t="s">
        <v>2223</v>
      </c>
      <c r="R3" s="299" t="s">
        <v>2221</v>
      </c>
      <c r="S3" s="390" t="s">
        <v>2222</v>
      </c>
      <c r="T3" s="389" t="s">
        <v>2227</v>
      </c>
      <c r="U3" s="2222" t="s">
        <v>2223</v>
      </c>
      <c r="V3" s="389" t="str">
        <f>Head9</f>
        <v>Budget Year 2013/14</v>
      </c>
      <c r="W3" s="390" t="str">
        <f>Head10</f>
        <v>Budget Year +1 2014/15</v>
      </c>
      <c r="X3" s="391" t="str">
        <f>Head11</f>
        <v>Budget Year +2 2015/16</v>
      </c>
    </row>
    <row r="4" spans="1:24" x14ac:dyDescent="0.25">
      <c r="A4" s="181" t="s">
        <v>1805</v>
      </c>
      <c r="B4" s="291"/>
      <c r="C4" s="311"/>
      <c r="D4" s="311"/>
      <c r="E4" s="312"/>
      <c r="F4" s="313"/>
      <c r="G4" s="311"/>
      <c r="H4" s="314"/>
      <c r="I4" s="312"/>
      <c r="J4" s="341"/>
      <c r="K4" s="311"/>
      <c r="L4" s="863"/>
      <c r="N4" s="313"/>
      <c r="O4" s="311"/>
      <c r="P4" s="314"/>
      <c r="Q4" s="312"/>
      <c r="R4" s="313"/>
      <c r="S4" s="311"/>
      <c r="T4" s="312"/>
      <c r="U4" s="420"/>
      <c r="V4" s="312"/>
      <c r="W4" s="311"/>
      <c r="X4" s="863"/>
    </row>
    <row r="5" spans="1:24" ht="11.25" customHeight="1" x14ac:dyDescent="0.25">
      <c r="A5" s="181" t="s">
        <v>385</v>
      </c>
      <c r="B5" s="293">
        <v>2</v>
      </c>
      <c r="C5" s="315"/>
      <c r="D5" s="315"/>
      <c r="E5" s="316"/>
      <c r="F5" s="317"/>
      <c r="G5" s="315"/>
      <c r="H5" s="318"/>
      <c r="I5" s="316"/>
      <c r="J5" s="406"/>
      <c r="K5" s="315"/>
      <c r="L5" s="993"/>
      <c r="N5" s="317"/>
      <c r="O5" s="315"/>
      <c r="P5" s="318"/>
      <c r="Q5" s="316"/>
      <c r="R5" s="317"/>
      <c r="S5" s="315"/>
      <c r="T5" s="316"/>
      <c r="U5" s="932"/>
      <c r="V5" s="316"/>
      <c r="W5" s="315"/>
      <c r="X5" s="993"/>
    </row>
    <row r="6" spans="1:24" ht="15" customHeight="1" x14ac:dyDescent="0.25">
      <c r="A6" s="1168" t="str">
        <f>'Org structure'!A2</f>
        <v xml:space="preserve">Vote 1 - Corporate Services </v>
      </c>
      <c r="B6" s="981"/>
      <c r="C6" s="976">
        <f t="shared" ref="C6:I6" si="0">SUM(C7:C16)</f>
        <v>7373340</v>
      </c>
      <c r="D6" s="976">
        <f t="shared" si="0"/>
        <v>3552209</v>
      </c>
      <c r="E6" s="977">
        <f t="shared" si="0"/>
        <v>12688810.550000001</v>
      </c>
      <c r="F6" s="978">
        <f t="shared" si="0"/>
        <v>0</v>
      </c>
      <c r="G6" s="976">
        <f t="shared" si="0"/>
        <v>0</v>
      </c>
      <c r="H6" s="977">
        <f t="shared" si="0"/>
        <v>0</v>
      </c>
      <c r="I6" s="943">
        <f t="shared" si="0"/>
        <v>0</v>
      </c>
      <c r="J6" s="980">
        <v>2500000</v>
      </c>
      <c r="K6" s="976">
        <v>5000000</v>
      </c>
      <c r="L6" s="2471">
        <v>2800000</v>
      </c>
      <c r="M6" s="1171"/>
      <c r="N6" s="978">
        <f t="shared" ref="N6:U6" si="1">SUM(N7:N16)</f>
        <v>0</v>
      </c>
      <c r="O6" s="976">
        <f t="shared" si="1"/>
        <v>0</v>
      </c>
      <c r="P6" s="977">
        <f t="shared" si="1"/>
        <v>0</v>
      </c>
      <c r="Q6" s="977">
        <f t="shared" si="1"/>
        <v>0</v>
      </c>
      <c r="R6" s="978">
        <f t="shared" si="1"/>
        <v>0</v>
      </c>
      <c r="S6" s="976">
        <f t="shared" si="1"/>
        <v>0</v>
      </c>
      <c r="T6" s="2469">
        <f t="shared" si="1"/>
        <v>0</v>
      </c>
      <c r="U6" s="2465">
        <f t="shared" si="1"/>
        <v>0</v>
      </c>
      <c r="V6" s="979">
        <v>2500000</v>
      </c>
      <c r="W6" s="976">
        <v>5000000</v>
      </c>
      <c r="X6" s="2471">
        <v>2800000</v>
      </c>
    </row>
    <row r="7" spans="1:24" ht="11.25" customHeight="1" x14ac:dyDescent="0.25">
      <c r="A7" s="1169" t="str">
        <f>'Org structure'!E3</f>
        <v>1.1 - Council and Committee Support</v>
      </c>
      <c r="B7" s="293"/>
      <c r="C7" s="1627">
        <v>40696</v>
      </c>
      <c r="D7" s="1627">
        <v>0</v>
      </c>
      <c r="E7" s="1634">
        <v>0</v>
      </c>
      <c r="F7" s="1629"/>
      <c r="G7" s="1627"/>
      <c r="H7" s="1628"/>
      <c r="I7" s="1630"/>
      <c r="J7" s="2472">
        <f>Q7+V7</f>
        <v>0</v>
      </c>
      <c r="K7" s="942">
        <f>U7+W7</f>
        <v>0</v>
      </c>
      <c r="L7" s="2473">
        <f>X7</f>
        <v>0</v>
      </c>
      <c r="M7" s="1170"/>
      <c r="N7" s="1629"/>
      <c r="O7" s="1627"/>
      <c r="P7" s="1628"/>
      <c r="Q7" s="978">
        <f>SUM(N7:P7)</f>
        <v>0</v>
      </c>
      <c r="R7" s="1629"/>
      <c r="S7" s="1627"/>
      <c r="T7" s="1630"/>
      <c r="U7" s="2465">
        <f>SUM(R7:T7)</f>
        <v>0</v>
      </c>
      <c r="V7" s="1630"/>
      <c r="W7" s="1627"/>
      <c r="X7" s="1632"/>
    </row>
    <row r="8" spans="1:24" ht="11.25" customHeight="1" x14ac:dyDescent="0.25">
      <c r="A8" s="1169" t="str">
        <f>'Org structure'!E4</f>
        <v>1.2 - Enterprise  Wide Risk Management &amp; Audit and Compliance</v>
      </c>
      <c r="B8" s="293"/>
      <c r="C8" s="1627"/>
      <c r="D8" s="1627">
        <v>0</v>
      </c>
      <c r="E8" s="1628">
        <v>0</v>
      </c>
      <c r="F8" s="1629"/>
      <c r="G8" s="1627"/>
      <c r="H8" s="1628"/>
      <c r="I8" s="1630"/>
      <c r="J8" s="2472">
        <f>Q8+V8</f>
        <v>0</v>
      </c>
      <c r="K8" s="942">
        <f>U8+W8</f>
        <v>0</v>
      </c>
      <c r="L8" s="2473">
        <f t="shared" ref="L8:L16" si="2">X8</f>
        <v>0</v>
      </c>
      <c r="M8" s="1170"/>
      <c r="N8" s="1629"/>
      <c r="O8" s="1627"/>
      <c r="P8" s="1628"/>
      <c r="Q8" s="978">
        <f t="shared" ref="Q8:Q16" si="3">SUM(N8:P8)</f>
        <v>0</v>
      </c>
      <c r="R8" s="1629"/>
      <c r="S8" s="1627"/>
      <c r="T8" s="1630"/>
      <c r="U8" s="2465">
        <f t="shared" ref="U8:U71" si="4">SUM(R8:T8)</f>
        <v>0</v>
      </c>
      <c r="V8" s="1630"/>
      <c r="W8" s="1627"/>
      <c r="X8" s="1632"/>
    </row>
    <row r="9" spans="1:24" ht="11.25" customHeight="1" x14ac:dyDescent="0.25">
      <c r="A9" s="1169" t="str">
        <f>'Org structure'!E5</f>
        <v>1.3 - Human Resources Management</v>
      </c>
      <c r="B9" s="293"/>
      <c r="C9" s="1627">
        <v>8999</v>
      </c>
      <c r="D9" s="1627">
        <v>0</v>
      </c>
      <c r="E9" s="1628">
        <v>0</v>
      </c>
      <c r="F9" s="1629"/>
      <c r="G9" s="1627"/>
      <c r="H9" s="1628"/>
      <c r="I9" s="1630"/>
      <c r="J9" s="2472">
        <f t="shared" ref="J9:J16" si="5">Q9+V9</f>
        <v>0</v>
      </c>
      <c r="K9" s="942">
        <f t="shared" ref="K9:K16" si="6">U9+W9</f>
        <v>0</v>
      </c>
      <c r="L9" s="2473">
        <f t="shared" si="2"/>
        <v>0</v>
      </c>
      <c r="M9" s="1170"/>
      <c r="N9" s="1629"/>
      <c r="O9" s="1627"/>
      <c r="P9" s="1628"/>
      <c r="Q9" s="978">
        <f t="shared" si="3"/>
        <v>0</v>
      </c>
      <c r="R9" s="1629"/>
      <c r="S9" s="1627"/>
      <c r="T9" s="1630"/>
      <c r="U9" s="2465">
        <f t="shared" si="4"/>
        <v>0</v>
      </c>
      <c r="V9" s="1630"/>
      <c r="W9" s="1627"/>
      <c r="X9" s="1632"/>
    </row>
    <row r="10" spans="1:24" ht="11.25" customHeight="1" x14ac:dyDescent="0.25">
      <c r="A10" s="1169" t="str">
        <f>'Org structure'!E6</f>
        <v>1.4 - Legislative Compliance</v>
      </c>
      <c r="B10" s="293"/>
      <c r="C10" s="1627"/>
      <c r="D10" s="1627">
        <v>0</v>
      </c>
      <c r="E10" s="1628">
        <v>12986.49</v>
      </c>
      <c r="F10" s="1629"/>
      <c r="G10" s="1627"/>
      <c r="H10" s="1628"/>
      <c r="I10" s="1630"/>
      <c r="J10" s="2472">
        <f t="shared" si="5"/>
        <v>0</v>
      </c>
      <c r="K10" s="942">
        <f t="shared" si="6"/>
        <v>0</v>
      </c>
      <c r="L10" s="2473">
        <f t="shared" si="2"/>
        <v>0</v>
      </c>
      <c r="M10" s="1170"/>
      <c r="N10" s="1629"/>
      <c r="O10" s="1627"/>
      <c r="P10" s="1628"/>
      <c r="Q10" s="978">
        <f t="shared" si="3"/>
        <v>0</v>
      </c>
      <c r="R10" s="1629"/>
      <c r="S10" s="1627"/>
      <c r="T10" s="1630"/>
      <c r="U10" s="2465">
        <f t="shared" si="4"/>
        <v>0</v>
      </c>
      <c r="V10" s="1630"/>
      <c r="W10" s="1627"/>
      <c r="X10" s="1632"/>
    </row>
    <row r="11" spans="1:24" ht="11.25" customHeight="1" x14ac:dyDescent="0.25">
      <c r="A11" s="1169" t="str">
        <f>'Org structure'!E7</f>
        <v>1.5 - Local Economic Development Management</v>
      </c>
      <c r="B11" s="293"/>
      <c r="C11" s="1627">
        <v>980381</v>
      </c>
      <c r="D11" s="1627">
        <v>281495</v>
      </c>
      <c r="E11" s="1628">
        <v>11701508.77</v>
      </c>
      <c r="F11" s="1629"/>
      <c r="G11" s="1627"/>
      <c r="H11" s="1628"/>
      <c r="I11" s="1630"/>
      <c r="J11" s="2472">
        <f t="shared" si="5"/>
        <v>0</v>
      </c>
      <c r="K11" s="942">
        <f t="shared" si="6"/>
        <v>0</v>
      </c>
      <c r="L11" s="2473">
        <f>X11</f>
        <v>0</v>
      </c>
      <c r="M11" s="1170"/>
      <c r="N11" s="1629"/>
      <c r="O11" s="1627"/>
      <c r="P11" s="1628"/>
      <c r="Q11" s="978">
        <f t="shared" si="3"/>
        <v>0</v>
      </c>
      <c r="R11" s="1629"/>
      <c r="S11" s="1627"/>
      <c r="T11" s="1630"/>
      <c r="U11" s="2465">
        <f t="shared" si="4"/>
        <v>0</v>
      </c>
      <c r="V11" s="1630"/>
      <c r="W11" s="1627"/>
      <c r="X11" s="1632"/>
    </row>
    <row r="12" spans="1:24" ht="11.25" customHeight="1" x14ac:dyDescent="0.25">
      <c r="A12" s="1169" t="str">
        <f>'Org structure'!E8</f>
        <v>1.6 - Management Information Services</v>
      </c>
      <c r="B12" s="293"/>
      <c r="C12" s="1627">
        <v>632597</v>
      </c>
      <c r="D12" s="1627">
        <v>0</v>
      </c>
      <c r="E12" s="1628">
        <v>974315.29</v>
      </c>
      <c r="F12" s="1629"/>
      <c r="G12" s="1627"/>
      <c r="H12" s="1628"/>
      <c r="I12" s="1630"/>
      <c r="J12" s="2472">
        <v>2500000</v>
      </c>
      <c r="K12" s="942">
        <v>500000</v>
      </c>
      <c r="L12" s="2473">
        <v>2800000</v>
      </c>
      <c r="M12" s="1170"/>
      <c r="N12" s="1629"/>
      <c r="O12" s="1627"/>
      <c r="P12" s="1628"/>
      <c r="Q12" s="978">
        <f t="shared" si="3"/>
        <v>0</v>
      </c>
      <c r="R12" s="1629"/>
      <c r="S12" s="1627"/>
      <c r="T12" s="1630"/>
      <c r="U12" s="2465">
        <f t="shared" si="4"/>
        <v>0</v>
      </c>
      <c r="V12" s="1630">
        <v>2500000</v>
      </c>
      <c r="W12" s="1627">
        <v>5000000</v>
      </c>
      <c r="X12" s="1632">
        <v>2800000</v>
      </c>
    </row>
    <row r="13" spans="1:24" ht="11.25" customHeight="1" x14ac:dyDescent="0.25">
      <c r="A13" s="1169" t="str">
        <f>'Org structure'!E9</f>
        <v>1.7 - Marketing and Public Relations Management</v>
      </c>
      <c r="B13" s="293"/>
      <c r="C13" s="1627">
        <v>5710667</v>
      </c>
      <c r="D13" s="1627">
        <v>3270714</v>
      </c>
      <c r="E13" s="1628">
        <v>0</v>
      </c>
      <c r="F13" s="1629"/>
      <c r="G13" s="1627"/>
      <c r="H13" s="1628"/>
      <c r="I13" s="1630"/>
      <c r="J13" s="2472">
        <f t="shared" si="5"/>
        <v>0</v>
      </c>
      <c r="K13" s="942">
        <f t="shared" si="6"/>
        <v>0</v>
      </c>
      <c r="L13" s="2473">
        <f t="shared" si="2"/>
        <v>0</v>
      </c>
      <c r="M13" s="1170"/>
      <c r="N13" s="1629"/>
      <c r="O13" s="1627"/>
      <c r="P13" s="1628"/>
      <c r="Q13" s="978">
        <f t="shared" si="3"/>
        <v>0</v>
      </c>
      <c r="R13" s="1629"/>
      <c r="S13" s="1627"/>
      <c r="T13" s="1630"/>
      <c r="U13" s="2465">
        <f t="shared" si="4"/>
        <v>0</v>
      </c>
      <c r="V13" s="1630"/>
      <c r="W13" s="1627"/>
      <c r="X13" s="1632"/>
    </row>
    <row r="14" spans="1:24" ht="11.25" customHeight="1" x14ac:dyDescent="0.25">
      <c r="A14" s="1169">
        <f>'Org structure'!E10</f>
        <v>0</v>
      </c>
      <c r="B14" s="293"/>
      <c r="C14" s="1627"/>
      <c r="D14" s="1627"/>
      <c r="E14" s="1628"/>
      <c r="F14" s="1629"/>
      <c r="G14" s="1627"/>
      <c r="H14" s="1628"/>
      <c r="I14" s="1630"/>
      <c r="J14" s="2472">
        <f t="shared" si="5"/>
        <v>0</v>
      </c>
      <c r="K14" s="942">
        <f t="shared" si="6"/>
        <v>0</v>
      </c>
      <c r="L14" s="2473">
        <f t="shared" si="2"/>
        <v>0</v>
      </c>
      <c r="M14" s="1170"/>
      <c r="N14" s="1629"/>
      <c r="O14" s="1627"/>
      <c r="P14" s="1628"/>
      <c r="Q14" s="978">
        <f t="shared" si="3"/>
        <v>0</v>
      </c>
      <c r="R14" s="1629"/>
      <c r="S14" s="1627"/>
      <c r="T14" s="1630"/>
      <c r="U14" s="2465">
        <f t="shared" si="4"/>
        <v>0</v>
      </c>
      <c r="V14" s="1630"/>
      <c r="W14" s="1627"/>
      <c r="X14" s="1632"/>
    </row>
    <row r="15" spans="1:24" ht="11.25" customHeight="1" x14ac:dyDescent="0.25">
      <c r="A15" s="1169">
        <f>'Org structure'!E11</f>
        <v>0</v>
      </c>
      <c r="B15" s="293"/>
      <c r="C15" s="1627"/>
      <c r="D15" s="1627"/>
      <c r="E15" s="1628"/>
      <c r="F15" s="1629"/>
      <c r="G15" s="1627"/>
      <c r="H15" s="1628"/>
      <c r="I15" s="1630"/>
      <c r="J15" s="2472">
        <f t="shared" si="5"/>
        <v>0</v>
      </c>
      <c r="K15" s="942">
        <f t="shared" si="6"/>
        <v>0</v>
      </c>
      <c r="L15" s="2473">
        <f t="shared" si="2"/>
        <v>0</v>
      </c>
      <c r="M15" s="1170"/>
      <c r="N15" s="1629"/>
      <c r="O15" s="1627"/>
      <c r="P15" s="1628"/>
      <c r="Q15" s="978">
        <f t="shared" si="3"/>
        <v>0</v>
      </c>
      <c r="R15" s="1629"/>
      <c r="S15" s="1627"/>
      <c r="T15" s="1630"/>
      <c r="U15" s="2465">
        <f t="shared" si="4"/>
        <v>0</v>
      </c>
      <c r="V15" s="1630"/>
      <c r="W15" s="1627"/>
      <c r="X15" s="1632"/>
    </row>
    <row r="16" spans="1:24" ht="11.25" customHeight="1" x14ac:dyDescent="0.25">
      <c r="A16" s="1169">
        <f>'Org structure'!E12</f>
        <v>0</v>
      </c>
      <c r="B16" s="293"/>
      <c r="C16" s="1627"/>
      <c r="D16" s="1627"/>
      <c r="E16" s="1628"/>
      <c r="F16" s="1629"/>
      <c r="G16" s="1627"/>
      <c r="H16" s="1628"/>
      <c r="I16" s="1630"/>
      <c r="J16" s="2472">
        <f t="shared" si="5"/>
        <v>0</v>
      </c>
      <c r="K16" s="942">
        <f t="shared" si="6"/>
        <v>0</v>
      </c>
      <c r="L16" s="2473">
        <f t="shared" si="2"/>
        <v>0</v>
      </c>
      <c r="M16" s="320"/>
      <c r="N16" s="1629"/>
      <c r="O16" s="1627"/>
      <c r="P16" s="1628"/>
      <c r="Q16" s="978">
        <f t="shared" si="3"/>
        <v>0</v>
      </c>
      <c r="R16" s="1629"/>
      <c r="S16" s="1627"/>
      <c r="T16" s="1630"/>
      <c r="U16" s="2465">
        <f t="shared" si="4"/>
        <v>0</v>
      </c>
      <c r="V16" s="1630"/>
      <c r="W16" s="1627"/>
      <c r="X16" s="1632"/>
    </row>
    <row r="17" spans="1:24" ht="15" customHeight="1" x14ac:dyDescent="0.25">
      <c r="A17" s="1168" t="str">
        <f>'Org structure'!A3</f>
        <v>Vote 2 - Financial Management Area</v>
      </c>
      <c r="B17" s="981"/>
      <c r="C17" s="976">
        <f>SUM(C18:C27)</f>
        <v>4975082</v>
      </c>
      <c r="D17" s="976">
        <f t="shared" ref="D17:L17" si="7">SUM(D18:D27)</f>
        <v>151698.5</v>
      </c>
      <c r="E17" s="977">
        <f t="shared" si="7"/>
        <v>34681.699999999997</v>
      </c>
      <c r="F17" s="978">
        <f t="shared" si="7"/>
        <v>0</v>
      </c>
      <c r="G17" s="976">
        <f t="shared" si="7"/>
        <v>0</v>
      </c>
      <c r="H17" s="977">
        <f t="shared" si="7"/>
        <v>0</v>
      </c>
      <c r="I17" s="979">
        <f>SUM(I18:I27)</f>
        <v>0</v>
      </c>
      <c r="J17" s="2472">
        <f t="shared" si="7"/>
        <v>0</v>
      </c>
      <c r="K17" s="942">
        <f t="shared" si="7"/>
        <v>0</v>
      </c>
      <c r="L17" s="2473">
        <f t="shared" si="7"/>
        <v>0</v>
      </c>
      <c r="M17" s="1172"/>
      <c r="N17" s="978">
        <f t="shared" ref="N17:X17" si="8">SUM(N18:N27)</f>
        <v>0</v>
      </c>
      <c r="O17" s="976">
        <f t="shared" si="8"/>
        <v>0</v>
      </c>
      <c r="P17" s="977">
        <f t="shared" si="8"/>
        <v>0</v>
      </c>
      <c r="Q17" s="978">
        <f t="shared" si="8"/>
        <v>0</v>
      </c>
      <c r="R17" s="978">
        <f t="shared" si="8"/>
        <v>0</v>
      </c>
      <c r="S17" s="976">
        <f t="shared" si="8"/>
        <v>0</v>
      </c>
      <c r="T17" s="2469">
        <f t="shared" si="8"/>
        <v>0</v>
      </c>
      <c r="U17" s="2465">
        <f t="shared" si="8"/>
        <v>0</v>
      </c>
      <c r="V17" s="2470">
        <f t="shared" si="8"/>
        <v>0</v>
      </c>
      <c r="W17" s="976">
        <f t="shared" si="8"/>
        <v>0</v>
      </c>
      <c r="X17" s="2471">
        <f t="shared" si="8"/>
        <v>0</v>
      </c>
    </row>
    <row r="18" spans="1:24" ht="11.25" customHeight="1" x14ac:dyDescent="0.25">
      <c r="A18" s="1169" t="str">
        <f>'Org structure'!E14</f>
        <v>2.1 - Budget &amp; Treasury Management</v>
      </c>
      <c r="B18" s="293"/>
      <c r="C18" s="1627">
        <v>4600270</v>
      </c>
      <c r="D18" s="1627">
        <v>0</v>
      </c>
      <c r="E18" s="1628">
        <v>34681.699999999997</v>
      </c>
      <c r="F18" s="1629"/>
      <c r="G18" s="1627"/>
      <c r="H18" s="1628"/>
      <c r="I18" s="1630"/>
      <c r="J18" s="2472">
        <f t="shared" ref="J18:J27" si="9">Q18+V18</f>
        <v>0</v>
      </c>
      <c r="K18" s="942">
        <f t="shared" ref="K18:K27" si="10">U18+W18</f>
        <v>0</v>
      </c>
      <c r="L18" s="2473">
        <f t="shared" ref="L18:L27" si="11">X18</f>
        <v>0</v>
      </c>
      <c r="M18" s="1170"/>
      <c r="N18" s="1629"/>
      <c r="O18" s="1627"/>
      <c r="P18" s="1628"/>
      <c r="Q18" s="978">
        <f t="shared" ref="Q18:Q27" si="12">SUM(N18:P18)</f>
        <v>0</v>
      </c>
      <c r="R18" s="1629"/>
      <c r="S18" s="1627"/>
      <c r="T18" s="1630"/>
      <c r="U18" s="2465">
        <f t="shared" si="4"/>
        <v>0</v>
      </c>
      <c r="V18" s="1630"/>
      <c r="W18" s="1627"/>
      <c r="X18" s="1632"/>
    </row>
    <row r="19" spans="1:24" ht="11.25" customHeight="1" x14ac:dyDescent="0.25">
      <c r="A19" s="1169" t="str">
        <f>'Org structure'!E15</f>
        <v>2.2 - Expenditure Management</v>
      </c>
      <c r="B19" s="293"/>
      <c r="C19" s="1627">
        <v>350132</v>
      </c>
      <c r="D19" s="1627">
        <v>151698.5</v>
      </c>
      <c r="E19" s="1628">
        <v>0</v>
      </c>
      <c r="F19" s="1629"/>
      <c r="G19" s="1627"/>
      <c r="H19" s="1628"/>
      <c r="I19" s="1630"/>
      <c r="J19" s="2472">
        <f>Q19+V19</f>
        <v>0</v>
      </c>
      <c r="K19" s="942">
        <f>U19+W19</f>
        <v>0</v>
      </c>
      <c r="L19" s="2473">
        <f t="shared" si="11"/>
        <v>0</v>
      </c>
      <c r="M19" s="1170"/>
      <c r="N19" s="1629"/>
      <c r="O19" s="1627"/>
      <c r="P19" s="1628"/>
      <c r="Q19" s="978">
        <f t="shared" si="12"/>
        <v>0</v>
      </c>
      <c r="R19" s="1629"/>
      <c r="S19" s="1627"/>
      <c r="T19" s="1630"/>
      <c r="U19" s="2465">
        <f t="shared" si="4"/>
        <v>0</v>
      </c>
      <c r="V19" s="1630"/>
      <c r="W19" s="1627"/>
      <c r="X19" s="1632"/>
    </row>
    <row r="20" spans="1:24" ht="11.25" customHeight="1" x14ac:dyDescent="0.25">
      <c r="A20" s="1169" t="str">
        <f>'Org structure'!E16</f>
        <v>2.3 - Financial Control and Cash Management</v>
      </c>
      <c r="B20" s="293"/>
      <c r="C20" s="1627">
        <v>0</v>
      </c>
      <c r="D20" s="1627">
        <v>0</v>
      </c>
      <c r="E20" s="1628">
        <v>0</v>
      </c>
      <c r="F20" s="1629"/>
      <c r="G20" s="1627"/>
      <c r="H20" s="1628"/>
      <c r="I20" s="1630"/>
      <c r="J20" s="2472">
        <f t="shared" si="9"/>
        <v>0</v>
      </c>
      <c r="K20" s="942">
        <f t="shared" si="10"/>
        <v>0</v>
      </c>
      <c r="L20" s="2473">
        <f t="shared" si="11"/>
        <v>0</v>
      </c>
      <c r="M20" s="1170"/>
      <c r="N20" s="1629"/>
      <c r="O20" s="1627"/>
      <c r="P20" s="1628"/>
      <c r="Q20" s="978">
        <f t="shared" si="12"/>
        <v>0</v>
      </c>
      <c r="R20" s="1629"/>
      <c r="S20" s="1627"/>
      <c r="T20" s="1630"/>
      <c r="U20" s="2465">
        <f t="shared" si="4"/>
        <v>0</v>
      </c>
      <c r="V20" s="1630"/>
      <c r="W20" s="1627"/>
      <c r="X20" s="1632"/>
    </row>
    <row r="21" spans="1:24" ht="11.25" customHeight="1" x14ac:dyDescent="0.25">
      <c r="A21" s="1169" t="str">
        <f>'Org structure'!E17</f>
        <v>2.4 - Revenue Management</v>
      </c>
      <c r="B21" s="293"/>
      <c r="C21" s="1627">
        <v>0</v>
      </c>
      <c r="D21" s="1627">
        <v>0</v>
      </c>
      <c r="E21" s="1628">
        <v>0</v>
      </c>
      <c r="F21" s="1629"/>
      <c r="G21" s="1627"/>
      <c r="H21" s="1628"/>
      <c r="I21" s="1630"/>
      <c r="J21" s="2472">
        <f t="shared" si="9"/>
        <v>0</v>
      </c>
      <c r="K21" s="942">
        <f>U21+W21</f>
        <v>0</v>
      </c>
      <c r="L21" s="2473">
        <f t="shared" si="11"/>
        <v>0</v>
      </c>
      <c r="M21" s="1170"/>
      <c r="N21" s="1629"/>
      <c r="O21" s="1627"/>
      <c r="P21" s="1628"/>
      <c r="Q21" s="978">
        <f t="shared" si="12"/>
        <v>0</v>
      </c>
      <c r="R21" s="1629"/>
      <c r="S21" s="1627"/>
      <c r="T21" s="1630"/>
      <c r="U21" s="2465">
        <f t="shared" si="4"/>
        <v>0</v>
      </c>
      <c r="V21" s="1630"/>
      <c r="W21" s="1627"/>
      <c r="X21" s="1632"/>
    </row>
    <row r="22" spans="1:24" ht="11.25" customHeight="1" x14ac:dyDescent="0.25">
      <c r="A22" s="1169" t="str">
        <f>'Org structure'!E18</f>
        <v>2.5 - Supply Chain Management</v>
      </c>
      <c r="B22" s="293"/>
      <c r="C22" s="1627">
        <v>24680</v>
      </c>
      <c r="D22" s="1627">
        <v>0</v>
      </c>
      <c r="E22" s="1628">
        <v>0</v>
      </c>
      <c r="F22" s="1629"/>
      <c r="G22" s="1627"/>
      <c r="H22" s="1628"/>
      <c r="I22" s="1630"/>
      <c r="J22" s="2472">
        <f t="shared" si="9"/>
        <v>0</v>
      </c>
      <c r="K22" s="942">
        <f t="shared" si="10"/>
        <v>0</v>
      </c>
      <c r="L22" s="2473">
        <f t="shared" si="11"/>
        <v>0</v>
      </c>
      <c r="M22" s="1170"/>
      <c r="N22" s="1629"/>
      <c r="O22" s="1627"/>
      <c r="P22" s="1628"/>
      <c r="Q22" s="978">
        <f t="shared" si="12"/>
        <v>0</v>
      </c>
      <c r="R22" s="1629"/>
      <c r="S22" s="1627"/>
      <c r="T22" s="1630"/>
      <c r="U22" s="2465">
        <f t="shared" si="4"/>
        <v>0</v>
      </c>
      <c r="V22" s="1630"/>
      <c r="W22" s="1627"/>
      <c r="X22" s="1632"/>
    </row>
    <row r="23" spans="1:24" ht="11.25" customHeight="1" x14ac:dyDescent="0.25">
      <c r="A23" s="1169">
        <f>'Org structure'!E19</f>
        <v>0</v>
      </c>
      <c r="B23" s="293"/>
      <c r="C23" s="1627"/>
      <c r="D23" s="1627"/>
      <c r="E23" s="1628"/>
      <c r="F23" s="1629"/>
      <c r="G23" s="1627"/>
      <c r="H23" s="1628"/>
      <c r="I23" s="1630"/>
      <c r="J23" s="2472">
        <f t="shared" si="9"/>
        <v>0</v>
      </c>
      <c r="K23" s="942">
        <f t="shared" si="10"/>
        <v>0</v>
      </c>
      <c r="L23" s="2473">
        <f t="shared" si="11"/>
        <v>0</v>
      </c>
      <c r="M23" s="1170"/>
      <c r="N23" s="1629"/>
      <c r="O23" s="1627"/>
      <c r="P23" s="1628"/>
      <c r="Q23" s="978">
        <f t="shared" si="12"/>
        <v>0</v>
      </c>
      <c r="R23" s="1629"/>
      <c r="S23" s="1627"/>
      <c r="T23" s="1630"/>
      <c r="U23" s="2465">
        <f t="shared" si="4"/>
        <v>0</v>
      </c>
      <c r="V23" s="1630"/>
      <c r="W23" s="1627"/>
      <c r="X23" s="1632"/>
    </row>
    <row r="24" spans="1:24" ht="11.25" customHeight="1" x14ac:dyDescent="0.25">
      <c r="A24" s="1169">
        <f>'Org structure'!E20</f>
        <v>0</v>
      </c>
      <c r="B24" s="293"/>
      <c r="C24" s="1627"/>
      <c r="D24" s="1627"/>
      <c r="E24" s="1628"/>
      <c r="F24" s="1629"/>
      <c r="G24" s="1627"/>
      <c r="H24" s="1628"/>
      <c r="I24" s="1630"/>
      <c r="J24" s="2472">
        <f t="shared" si="9"/>
        <v>0</v>
      </c>
      <c r="K24" s="942">
        <f t="shared" si="10"/>
        <v>0</v>
      </c>
      <c r="L24" s="2473">
        <f t="shared" si="11"/>
        <v>0</v>
      </c>
      <c r="M24" s="1170"/>
      <c r="N24" s="1629"/>
      <c r="O24" s="1627"/>
      <c r="P24" s="1628"/>
      <c r="Q24" s="978">
        <f t="shared" si="12"/>
        <v>0</v>
      </c>
      <c r="R24" s="1629"/>
      <c r="S24" s="1627"/>
      <c r="T24" s="1630"/>
      <c r="U24" s="2465">
        <f t="shared" si="4"/>
        <v>0</v>
      </c>
      <c r="V24" s="1630"/>
      <c r="W24" s="1627"/>
      <c r="X24" s="1632"/>
    </row>
    <row r="25" spans="1:24" ht="11.25" customHeight="1" x14ac:dyDescent="0.25">
      <c r="A25" s="1169">
        <f>'Org structure'!E21</f>
        <v>0</v>
      </c>
      <c r="B25" s="293"/>
      <c r="C25" s="1627"/>
      <c r="D25" s="1627"/>
      <c r="E25" s="1628"/>
      <c r="F25" s="1629"/>
      <c r="G25" s="1627"/>
      <c r="H25" s="1628"/>
      <c r="I25" s="1630"/>
      <c r="J25" s="2472">
        <f t="shared" si="9"/>
        <v>0</v>
      </c>
      <c r="K25" s="942">
        <f t="shared" si="10"/>
        <v>0</v>
      </c>
      <c r="L25" s="2473">
        <f t="shared" si="11"/>
        <v>0</v>
      </c>
      <c r="M25" s="1170"/>
      <c r="N25" s="1629"/>
      <c r="O25" s="1627"/>
      <c r="P25" s="1628"/>
      <c r="Q25" s="978">
        <f t="shared" si="12"/>
        <v>0</v>
      </c>
      <c r="R25" s="1629"/>
      <c r="S25" s="1627"/>
      <c r="T25" s="1630"/>
      <c r="U25" s="2465">
        <f t="shared" si="4"/>
        <v>0</v>
      </c>
      <c r="V25" s="1630"/>
      <c r="W25" s="1627"/>
      <c r="X25" s="1632"/>
    </row>
    <row r="26" spans="1:24" ht="11.25" customHeight="1" x14ac:dyDescent="0.25">
      <c r="A26" s="1169">
        <f>'Org structure'!E22</f>
        <v>0</v>
      </c>
      <c r="B26" s="293"/>
      <c r="C26" s="1627"/>
      <c r="D26" s="1627"/>
      <c r="E26" s="1628"/>
      <c r="F26" s="1629"/>
      <c r="G26" s="1627"/>
      <c r="H26" s="1628"/>
      <c r="I26" s="1630"/>
      <c r="J26" s="2472">
        <f t="shared" si="9"/>
        <v>0</v>
      </c>
      <c r="K26" s="942">
        <f t="shared" si="10"/>
        <v>0</v>
      </c>
      <c r="L26" s="2473">
        <f t="shared" si="11"/>
        <v>0</v>
      </c>
      <c r="M26" s="1170"/>
      <c r="N26" s="1629"/>
      <c r="O26" s="1627"/>
      <c r="P26" s="1628"/>
      <c r="Q26" s="978">
        <f t="shared" si="12"/>
        <v>0</v>
      </c>
      <c r="R26" s="1629"/>
      <c r="S26" s="1627"/>
      <c r="T26" s="1630"/>
      <c r="U26" s="2465">
        <f t="shared" si="4"/>
        <v>0</v>
      </c>
      <c r="V26" s="1630"/>
      <c r="W26" s="1627"/>
      <c r="X26" s="1632"/>
    </row>
    <row r="27" spans="1:24" ht="11.25" customHeight="1" x14ac:dyDescent="0.25">
      <c r="A27" s="1169">
        <f>'Org structure'!E23</f>
        <v>0</v>
      </c>
      <c r="B27" s="293"/>
      <c r="C27" s="1627"/>
      <c r="D27" s="1627"/>
      <c r="E27" s="1628"/>
      <c r="F27" s="1629"/>
      <c r="G27" s="1627"/>
      <c r="H27" s="1628"/>
      <c r="I27" s="1630"/>
      <c r="J27" s="2472">
        <f t="shared" si="9"/>
        <v>0</v>
      </c>
      <c r="K27" s="942">
        <f t="shared" si="10"/>
        <v>0</v>
      </c>
      <c r="L27" s="2473">
        <f t="shared" si="11"/>
        <v>0</v>
      </c>
      <c r="M27" s="1170"/>
      <c r="N27" s="1629"/>
      <c r="O27" s="1627"/>
      <c r="P27" s="1628"/>
      <c r="Q27" s="978">
        <f t="shared" si="12"/>
        <v>0</v>
      </c>
      <c r="R27" s="1629"/>
      <c r="S27" s="1627"/>
      <c r="T27" s="1630"/>
      <c r="U27" s="2465">
        <f t="shared" si="4"/>
        <v>0</v>
      </c>
      <c r="V27" s="1630"/>
      <c r="W27" s="1627"/>
      <c r="X27" s="1632"/>
    </row>
    <row r="28" spans="1:24" ht="15" customHeight="1" x14ac:dyDescent="0.25">
      <c r="A28" s="1168" t="str">
        <f>'Org structure'!A4</f>
        <v>Vote 3 - Infrastructure Development, Service Delivery and Maintenance Management</v>
      </c>
      <c r="B28" s="981"/>
      <c r="C28" s="976">
        <f>SUM(C29:C38)</f>
        <v>130571819</v>
      </c>
      <c r="D28" s="976">
        <f t="shared" ref="D28:L28" si="13">SUM(D29:D38)</f>
        <v>91806803.780000001</v>
      </c>
      <c r="E28" s="977">
        <f t="shared" si="13"/>
        <v>194876529.64999998</v>
      </c>
      <c r="F28" s="978">
        <f t="shared" si="13"/>
        <v>163117230</v>
      </c>
      <c r="G28" s="976">
        <f t="shared" si="13"/>
        <v>149684020</v>
      </c>
      <c r="H28" s="977">
        <f t="shared" si="13"/>
        <v>149684020</v>
      </c>
      <c r="I28" s="979">
        <f>SUM(I29:I38)</f>
        <v>149684020</v>
      </c>
      <c r="J28" s="2472">
        <f t="shared" si="13"/>
        <v>405796853</v>
      </c>
      <c r="K28" s="942">
        <f t="shared" si="13"/>
        <v>202921000</v>
      </c>
      <c r="L28" s="2473">
        <f t="shared" si="13"/>
        <v>185400000</v>
      </c>
      <c r="M28" s="1170"/>
      <c r="N28" s="978">
        <f t="shared" ref="N28:X28" si="14">SUM(N29:N38)</f>
        <v>0</v>
      </c>
      <c r="O28" s="976">
        <f t="shared" si="14"/>
        <v>0</v>
      </c>
      <c r="P28" s="977">
        <f t="shared" si="14"/>
        <v>0</v>
      </c>
      <c r="Q28" s="978">
        <f t="shared" si="14"/>
        <v>0</v>
      </c>
      <c r="R28" s="978">
        <f t="shared" si="14"/>
        <v>0</v>
      </c>
      <c r="S28" s="976">
        <f t="shared" si="14"/>
        <v>0</v>
      </c>
      <c r="T28" s="2469">
        <f t="shared" si="14"/>
        <v>0</v>
      </c>
      <c r="U28" s="2465">
        <f t="shared" si="14"/>
        <v>0</v>
      </c>
      <c r="V28" s="2470">
        <f t="shared" si="14"/>
        <v>405796853</v>
      </c>
      <c r="W28" s="976">
        <f t="shared" si="14"/>
        <v>202921000</v>
      </c>
      <c r="X28" s="2471">
        <f t="shared" si="14"/>
        <v>185400000</v>
      </c>
    </row>
    <row r="29" spans="1:24" ht="11.25" customHeight="1" x14ac:dyDescent="0.25">
      <c r="A29" s="1169" t="str">
        <f>'Org structure'!E25</f>
        <v>3.1 - Electricity distribution Management</v>
      </c>
      <c r="B29" s="293"/>
      <c r="C29" s="1627">
        <v>21458565</v>
      </c>
      <c r="D29" s="1627">
        <v>16591555</v>
      </c>
      <c r="E29" s="1628">
        <v>26696477.649999999</v>
      </c>
      <c r="F29" s="1629">
        <v>0</v>
      </c>
      <c r="G29" s="1049">
        <v>8000000</v>
      </c>
      <c r="H29" s="1049">
        <v>8000000</v>
      </c>
      <c r="I29" s="1049">
        <v>8000000</v>
      </c>
      <c r="J29" s="2472">
        <f t="shared" ref="J29:J38" si="15">Q29+V29</f>
        <v>163500000</v>
      </c>
      <c r="K29" s="942">
        <f t="shared" ref="K29:K38" si="16">U29+W29</f>
        <v>54372000</v>
      </c>
      <c r="L29" s="2473">
        <f t="shared" ref="L29:L38" si="17">X29</f>
        <v>32210000</v>
      </c>
      <c r="M29" s="1170"/>
      <c r="N29" s="1629"/>
      <c r="O29" s="1627"/>
      <c r="P29" s="1628"/>
      <c r="Q29" s="978">
        <f t="shared" ref="Q29:Q38" si="18">SUM(N29:P29)</f>
        <v>0</v>
      </c>
      <c r="R29" s="1629"/>
      <c r="S29" s="1627"/>
      <c r="T29" s="1630"/>
      <c r="U29" s="2465">
        <f t="shared" si="4"/>
        <v>0</v>
      </c>
      <c r="V29" s="1627">
        <f>273500000-100000000-10000000</f>
        <v>163500000</v>
      </c>
      <c r="W29" s="1632">
        <v>54372000</v>
      </c>
      <c r="X29" s="1632">
        <f>282210000-250000000</f>
        <v>32210000</v>
      </c>
    </row>
    <row r="30" spans="1:24" ht="11.25" customHeight="1" x14ac:dyDescent="0.25">
      <c r="A30" s="1169" t="str">
        <f>'Org structure'!E26</f>
        <v>3.2 - Human Settlement Development Management</v>
      </c>
      <c r="B30" s="293"/>
      <c r="C30" s="1627">
        <v>2502892</v>
      </c>
      <c r="D30" s="1627">
        <v>11270</v>
      </c>
      <c r="E30" s="1628">
        <v>0</v>
      </c>
      <c r="F30" s="1629">
        <v>0</v>
      </c>
      <c r="G30" s="1049">
        <v>0</v>
      </c>
      <c r="H30" s="1049">
        <v>0</v>
      </c>
      <c r="I30" s="1049">
        <v>0</v>
      </c>
      <c r="J30" s="2472">
        <f t="shared" si="15"/>
        <v>0</v>
      </c>
      <c r="K30" s="942">
        <f t="shared" si="16"/>
        <v>0</v>
      </c>
      <c r="L30" s="2473">
        <f t="shared" si="17"/>
        <v>0</v>
      </c>
      <c r="M30" s="1170"/>
      <c r="N30" s="1629"/>
      <c r="O30" s="1627"/>
      <c r="P30" s="1628"/>
      <c r="Q30" s="978">
        <f t="shared" si="18"/>
        <v>0</v>
      </c>
      <c r="R30" s="1629"/>
      <c r="S30" s="1627"/>
      <c r="T30" s="1630"/>
      <c r="U30" s="2465">
        <f t="shared" si="4"/>
        <v>0</v>
      </c>
      <c r="V30" s="1627">
        <v>0</v>
      </c>
      <c r="W30" s="1632">
        <v>0</v>
      </c>
      <c r="X30" s="1632"/>
    </row>
    <row r="31" spans="1:24" ht="11.25" customHeight="1" x14ac:dyDescent="0.25">
      <c r="A31" s="1169" t="str">
        <f>'Org structure'!E27</f>
        <v>3.3 - Municipal Infrastructure Planning, Funding, Maintenance and Development Management</v>
      </c>
      <c r="B31" s="293"/>
      <c r="C31" s="1627">
        <v>75791</v>
      </c>
      <c r="D31" s="1627"/>
      <c r="E31" s="1628">
        <f>16114.44+43320</f>
        <v>59434.44</v>
      </c>
      <c r="F31" s="1629">
        <v>0</v>
      </c>
      <c r="G31" s="1049">
        <v>0</v>
      </c>
      <c r="H31" s="1049">
        <v>0</v>
      </c>
      <c r="I31" s="1049">
        <v>0</v>
      </c>
      <c r="J31" s="2472">
        <f t="shared" si="15"/>
        <v>0</v>
      </c>
      <c r="K31" s="942">
        <f t="shared" si="16"/>
        <v>0</v>
      </c>
      <c r="L31" s="2473">
        <f t="shared" si="17"/>
        <v>0</v>
      </c>
      <c r="M31" s="1170"/>
      <c r="N31" s="1629"/>
      <c r="O31" s="1627"/>
      <c r="P31" s="1628"/>
      <c r="Q31" s="978">
        <f t="shared" si="18"/>
        <v>0</v>
      </c>
      <c r="R31" s="1629"/>
      <c r="S31" s="1627"/>
      <c r="T31" s="1630"/>
      <c r="U31" s="2465">
        <f>SUM(R31:T31)</f>
        <v>0</v>
      </c>
      <c r="V31" s="1627">
        <v>0</v>
      </c>
      <c r="W31" s="1632">
        <v>0</v>
      </c>
      <c r="X31" s="1632"/>
    </row>
    <row r="32" spans="1:24" ht="11.25" customHeight="1" x14ac:dyDescent="0.25">
      <c r="A32" s="1169" t="str">
        <f>'Org structure'!E28</f>
        <v>3.4 - Roads and Stormwater</v>
      </c>
      <c r="B32" s="293"/>
      <c r="C32" s="1627">
        <v>32581294</v>
      </c>
      <c r="D32" s="1627">
        <v>46382130</v>
      </c>
      <c r="E32" s="1628">
        <f>84586676.3+3851.47</f>
        <v>84590527.769999996</v>
      </c>
      <c r="F32" s="1629">
        <v>78747780</v>
      </c>
      <c r="G32" s="1049">
        <v>57314570</v>
      </c>
      <c r="H32" s="1049">
        <v>57314570</v>
      </c>
      <c r="I32" s="1049">
        <v>57314570</v>
      </c>
      <c r="J32" s="2472">
        <f t="shared" si="15"/>
        <v>165656000</v>
      </c>
      <c r="K32" s="942">
        <f>U32+W32</f>
        <v>48870000</v>
      </c>
      <c r="L32" s="2473">
        <f t="shared" si="17"/>
        <v>19700000</v>
      </c>
      <c r="M32" s="1170"/>
      <c r="N32" s="1629"/>
      <c r="O32" s="1627"/>
      <c r="P32" s="1628"/>
      <c r="Q32" s="978">
        <f t="shared" si="18"/>
        <v>0</v>
      </c>
      <c r="R32" s="1629"/>
      <c r="S32" s="1627"/>
      <c r="T32" s="1630"/>
      <c r="U32" s="2465">
        <f t="shared" si="4"/>
        <v>0</v>
      </c>
      <c r="V32" s="1627">
        <f>152946000+12710000</f>
        <v>165656000</v>
      </c>
      <c r="W32" s="1632">
        <v>48870000</v>
      </c>
      <c r="X32" s="1632">
        <v>19700000</v>
      </c>
    </row>
    <row r="33" spans="1:24" ht="11.25" customHeight="1" x14ac:dyDescent="0.25">
      <c r="A33" s="1169" t="str">
        <f>'Org structure'!E29</f>
        <v>3.5 - Waste Management</v>
      </c>
      <c r="B33" s="293"/>
      <c r="C33" s="1627">
        <v>3945164</v>
      </c>
      <c r="D33" s="1627">
        <v>471058.78</v>
      </c>
      <c r="E33" s="1628">
        <v>20205677.489999998</v>
      </c>
      <c r="F33" s="1629">
        <v>0</v>
      </c>
      <c r="G33" s="1049">
        <v>0</v>
      </c>
      <c r="H33" s="1049">
        <v>0</v>
      </c>
      <c r="I33" s="1630">
        <v>0</v>
      </c>
      <c r="J33" s="2472">
        <f>Q33+V33</f>
        <v>8090853</v>
      </c>
      <c r="K33" s="942">
        <f t="shared" si="16"/>
        <v>7500000</v>
      </c>
      <c r="L33" s="2473">
        <f t="shared" si="17"/>
        <v>7500000</v>
      </c>
      <c r="M33" s="1170"/>
      <c r="N33" s="1629"/>
      <c r="O33" s="1627"/>
      <c r="P33" s="1628"/>
      <c r="Q33" s="978">
        <f t="shared" si="18"/>
        <v>0</v>
      </c>
      <c r="R33" s="1629"/>
      <c r="S33" s="1627"/>
      <c r="T33" s="1630"/>
      <c r="U33" s="2465">
        <f t="shared" si="4"/>
        <v>0</v>
      </c>
      <c r="V33" s="1627">
        <v>8090853</v>
      </c>
      <c r="W33" s="1632">
        <v>7500000</v>
      </c>
      <c r="X33" s="1632">
        <v>7500000</v>
      </c>
    </row>
    <row r="34" spans="1:24" ht="11.25" customHeight="1" x14ac:dyDescent="0.25">
      <c r="A34" s="1169" t="str">
        <f>'Org structure'!E30</f>
        <v>3.6 - Water Distribution and Sanitation Management</v>
      </c>
      <c r="B34" s="293"/>
      <c r="C34" s="1627">
        <v>70008113</v>
      </c>
      <c r="D34" s="1627">
        <v>28350790</v>
      </c>
      <c r="E34" s="1628">
        <f>25000776.34+38323635.96</f>
        <v>63324412.299999997</v>
      </c>
      <c r="F34" s="1629">
        <v>84369450</v>
      </c>
      <c r="G34" s="1049">
        <v>84369450</v>
      </c>
      <c r="H34" s="1049">
        <v>84369450</v>
      </c>
      <c r="I34" s="1630">
        <v>84369450</v>
      </c>
      <c r="J34" s="2472">
        <f t="shared" si="15"/>
        <v>68550000</v>
      </c>
      <c r="K34" s="942">
        <f t="shared" si="16"/>
        <v>92179000</v>
      </c>
      <c r="L34" s="2473">
        <f t="shared" si="17"/>
        <v>125990000</v>
      </c>
      <c r="M34" s="1170"/>
      <c r="N34" s="1629"/>
      <c r="O34" s="1627"/>
      <c r="P34" s="1628"/>
      <c r="Q34" s="978">
        <f t="shared" si="18"/>
        <v>0</v>
      </c>
      <c r="R34" s="1629"/>
      <c r="S34" s="1627"/>
      <c r="T34" s="1630"/>
      <c r="U34" s="2465">
        <f t="shared" si="4"/>
        <v>0</v>
      </c>
      <c r="V34" s="1627">
        <v>68550000</v>
      </c>
      <c r="W34" s="1632">
        <v>92179000</v>
      </c>
      <c r="X34" s="1632">
        <v>125990000</v>
      </c>
    </row>
    <row r="35" spans="1:24" ht="11.25" customHeight="1" x14ac:dyDescent="0.25">
      <c r="A35" s="1169">
        <f>'Org structure'!E31</f>
        <v>0</v>
      </c>
      <c r="B35" s="293"/>
      <c r="C35" s="1627"/>
      <c r="D35" s="1627"/>
      <c r="E35" s="1628"/>
      <c r="F35" s="1629">
        <v>0</v>
      </c>
      <c r="G35" s="1049">
        <v>0</v>
      </c>
      <c r="H35" s="1049">
        <v>0</v>
      </c>
      <c r="I35" s="1630">
        <v>0</v>
      </c>
      <c r="J35" s="2472">
        <f t="shared" si="15"/>
        <v>0</v>
      </c>
      <c r="K35" s="942">
        <f t="shared" si="16"/>
        <v>0</v>
      </c>
      <c r="L35" s="2473">
        <f t="shared" si="17"/>
        <v>0</v>
      </c>
      <c r="M35" s="1170"/>
      <c r="N35" s="1629"/>
      <c r="O35" s="1627"/>
      <c r="P35" s="1628"/>
      <c r="Q35" s="978">
        <f t="shared" si="18"/>
        <v>0</v>
      </c>
      <c r="R35" s="1629"/>
      <c r="S35" s="1627"/>
      <c r="T35" s="1630"/>
      <c r="U35" s="2465">
        <f t="shared" si="4"/>
        <v>0</v>
      </c>
      <c r="V35" s="1627">
        <v>0</v>
      </c>
      <c r="W35" s="1632">
        <v>0</v>
      </c>
      <c r="X35" s="1632"/>
    </row>
    <row r="36" spans="1:24" ht="11.25" customHeight="1" x14ac:dyDescent="0.25">
      <c r="A36" s="1169">
        <f>'Org structure'!E32</f>
        <v>0</v>
      </c>
      <c r="B36" s="293"/>
      <c r="C36" s="1627"/>
      <c r="D36" s="1627"/>
      <c r="E36" s="1628"/>
      <c r="F36" s="1629">
        <v>0</v>
      </c>
      <c r="G36" s="1627"/>
      <c r="H36" s="1627"/>
      <c r="I36" s="1630"/>
      <c r="J36" s="2472">
        <f t="shared" si="15"/>
        <v>0</v>
      </c>
      <c r="K36" s="942">
        <f t="shared" si="16"/>
        <v>0</v>
      </c>
      <c r="L36" s="2473">
        <f t="shared" si="17"/>
        <v>0</v>
      </c>
      <c r="M36" s="1170"/>
      <c r="N36" s="1629"/>
      <c r="O36" s="1627"/>
      <c r="P36" s="1628"/>
      <c r="Q36" s="978">
        <f t="shared" si="18"/>
        <v>0</v>
      </c>
      <c r="R36" s="1629"/>
      <c r="S36" s="1627"/>
      <c r="T36" s="1630"/>
      <c r="U36" s="2465">
        <f t="shared" si="4"/>
        <v>0</v>
      </c>
      <c r="V36" s="1627"/>
      <c r="W36" s="1632"/>
      <c r="X36" s="1632"/>
    </row>
    <row r="37" spans="1:24" ht="11.25" customHeight="1" x14ac:dyDescent="0.25">
      <c r="A37" s="1169">
        <f>'Org structure'!E33</f>
        <v>0</v>
      </c>
      <c r="B37" s="293"/>
      <c r="C37" s="1627"/>
      <c r="D37" s="1627"/>
      <c r="E37" s="1628"/>
      <c r="F37" s="1629">
        <v>0</v>
      </c>
      <c r="G37" s="1627"/>
      <c r="H37" s="1627"/>
      <c r="I37" s="1630"/>
      <c r="J37" s="2472">
        <f t="shared" si="15"/>
        <v>0</v>
      </c>
      <c r="K37" s="942">
        <f t="shared" si="16"/>
        <v>0</v>
      </c>
      <c r="L37" s="2473">
        <f t="shared" si="17"/>
        <v>0</v>
      </c>
      <c r="M37" s="1170"/>
      <c r="N37" s="1629"/>
      <c r="O37" s="1627"/>
      <c r="P37" s="1628"/>
      <c r="Q37" s="978">
        <f t="shared" si="18"/>
        <v>0</v>
      </c>
      <c r="R37" s="1629"/>
      <c r="S37" s="1627"/>
      <c r="T37" s="1630"/>
      <c r="U37" s="2465">
        <f t="shared" si="4"/>
        <v>0</v>
      </c>
      <c r="V37" s="1627"/>
      <c r="W37" s="1632"/>
      <c r="X37" s="1632"/>
    </row>
    <row r="38" spans="1:24" ht="11.25" customHeight="1" x14ac:dyDescent="0.25">
      <c r="A38" s="1169">
        <f>'Org structure'!E34</f>
        <v>0</v>
      </c>
      <c r="B38" s="293"/>
      <c r="C38" s="1627"/>
      <c r="D38" s="1627"/>
      <c r="E38" s="1628"/>
      <c r="F38" s="1629">
        <v>0</v>
      </c>
      <c r="G38" s="1627"/>
      <c r="H38" s="1627"/>
      <c r="I38" s="1630"/>
      <c r="J38" s="2472">
        <f t="shared" si="15"/>
        <v>0</v>
      </c>
      <c r="K38" s="942">
        <f t="shared" si="16"/>
        <v>0</v>
      </c>
      <c r="L38" s="2473">
        <f t="shared" si="17"/>
        <v>0</v>
      </c>
      <c r="M38" s="1170"/>
      <c r="N38" s="1629"/>
      <c r="O38" s="1627"/>
      <c r="P38" s="1628"/>
      <c r="Q38" s="978">
        <f t="shared" si="18"/>
        <v>0</v>
      </c>
      <c r="R38" s="1629"/>
      <c r="S38" s="1627"/>
      <c r="T38" s="1630"/>
      <c r="U38" s="2465">
        <f t="shared" si="4"/>
        <v>0</v>
      </c>
      <c r="V38" s="1627"/>
      <c r="W38" s="1632"/>
      <c r="X38" s="1632"/>
    </row>
    <row r="39" spans="1:24" ht="15" customHeight="1" x14ac:dyDescent="0.25">
      <c r="A39" s="1168" t="str">
        <f>'Org structure'!A5</f>
        <v>Vote 4 - Sustainable Community Service Delivery Provision Management</v>
      </c>
      <c r="B39" s="981"/>
      <c r="C39" s="976">
        <f>SUM(C40:C49)</f>
        <v>33113251</v>
      </c>
      <c r="D39" s="976">
        <f t="shared" ref="D39:L39" si="19">SUM(D40:D49)</f>
        <v>15638042</v>
      </c>
      <c r="E39" s="977">
        <f t="shared" si="19"/>
        <v>15963264.199999999</v>
      </c>
      <c r="F39" s="982">
        <f t="shared" si="19"/>
        <v>32815000</v>
      </c>
      <c r="G39" s="976">
        <f t="shared" si="19"/>
        <v>28260000</v>
      </c>
      <c r="H39" s="977">
        <f t="shared" si="19"/>
        <v>28260000</v>
      </c>
      <c r="I39" s="979">
        <f>SUM(I40:I49)</f>
        <v>28260000</v>
      </c>
      <c r="J39" s="2472">
        <f t="shared" si="19"/>
        <v>0</v>
      </c>
      <c r="K39" s="942">
        <f t="shared" si="19"/>
        <v>0</v>
      </c>
      <c r="L39" s="2473">
        <f t="shared" si="19"/>
        <v>0</v>
      </c>
      <c r="M39" s="1170"/>
      <c r="N39" s="978">
        <f t="shared" ref="N39:X39" si="20">SUM(N40:N49)</f>
        <v>0</v>
      </c>
      <c r="O39" s="976">
        <f t="shared" si="20"/>
        <v>0</v>
      </c>
      <c r="P39" s="983">
        <f t="shared" si="20"/>
        <v>0</v>
      </c>
      <c r="Q39" s="978">
        <f t="shared" si="20"/>
        <v>0</v>
      </c>
      <c r="R39" s="978">
        <f t="shared" si="20"/>
        <v>0</v>
      </c>
      <c r="S39" s="976">
        <f t="shared" si="20"/>
        <v>0</v>
      </c>
      <c r="T39" s="2469">
        <f t="shared" si="20"/>
        <v>0</v>
      </c>
      <c r="U39" s="2465">
        <f t="shared" si="20"/>
        <v>0</v>
      </c>
      <c r="V39" s="2470">
        <f t="shared" si="20"/>
        <v>0</v>
      </c>
      <c r="W39" s="976">
        <f t="shared" si="20"/>
        <v>0</v>
      </c>
      <c r="X39" s="2471">
        <f t="shared" si="20"/>
        <v>0</v>
      </c>
    </row>
    <row r="40" spans="1:24" ht="11.25" customHeight="1" x14ac:dyDescent="0.25">
      <c r="A40" s="1169" t="str">
        <f>'Org structure'!E36</f>
        <v>4.1 - Community Services Provision Management</v>
      </c>
      <c r="B40" s="293"/>
      <c r="C40" s="1627">
        <v>7625009</v>
      </c>
      <c r="D40" s="1627">
        <v>3933582</v>
      </c>
      <c r="E40" s="1628">
        <f>1590364.21+215108.24+1319940</f>
        <v>3125412.45</v>
      </c>
      <c r="F40" s="1629">
        <v>0</v>
      </c>
      <c r="G40" s="1627">
        <v>0</v>
      </c>
      <c r="H40" s="1627">
        <v>0</v>
      </c>
      <c r="I40" s="1630">
        <v>0</v>
      </c>
      <c r="J40" s="2472">
        <f t="shared" ref="J40:J49" si="21">Q40+V40</f>
        <v>0</v>
      </c>
      <c r="K40" s="942">
        <f t="shared" ref="K40:K49" si="22">U40+W40</f>
        <v>0</v>
      </c>
      <c r="L40" s="2473">
        <f t="shared" ref="L40:L49" si="23">X40</f>
        <v>0</v>
      </c>
      <c r="M40" s="1170"/>
      <c r="N40" s="1629"/>
      <c r="O40" s="1627"/>
      <c r="P40" s="1628"/>
      <c r="Q40" s="978">
        <f t="shared" ref="Q40:Q49" si="24">SUM(N40:P40)</f>
        <v>0</v>
      </c>
      <c r="R40" s="1629"/>
      <c r="S40" s="1627"/>
      <c r="T40" s="1630"/>
      <c r="U40" s="2465">
        <f t="shared" si="4"/>
        <v>0</v>
      </c>
      <c r="V40" s="1627">
        <v>0</v>
      </c>
      <c r="W40" s="1632">
        <v>0</v>
      </c>
      <c r="X40" s="1632"/>
    </row>
    <row r="41" spans="1:24" ht="11.25" customHeight="1" x14ac:dyDescent="0.25">
      <c r="A41" s="1169" t="str">
        <f>'Org structure'!E37</f>
        <v>4.2 - Public Safety, Enforcement and Disaster Management</v>
      </c>
      <c r="B41" s="293"/>
      <c r="C41" s="1627">
        <v>18103300</v>
      </c>
      <c r="D41" s="1627">
        <v>165239</v>
      </c>
      <c r="E41" s="1628">
        <f>217706.76</f>
        <v>217706.76</v>
      </c>
      <c r="F41" s="1629">
        <v>0</v>
      </c>
      <c r="G41" s="1627">
        <v>0</v>
      </c>
      <c r="H41" s="1627">
        <v>0</v>
      </c>
      <c r="I41" s="1630">
        <v>0</v>
      </c>
      <c r="J41" s="2472">
        <f t="shared" si="21"/>
        <v>0</v>
      </c>
      <c r="K41" s="942">
        <f t="shared" si="22"/>
        <v>0</v>
      </c>
      <c r="L41" s="2473">
        <f t="shared" si="23"/>
        <v>0</v>
      </c>
      <c r="M41" s="1170"/>
      <c r="N41" s="1629"/>
      <c r="O41" s="1627"/>
      <c r="P41" s="1628"/>
      <c r="Q41" s="978">
        <f t="shared" si="24"/>
        <v>0</v>
      </c>
      <c r="R41" s="1629"/>
      <c r="S41" s="1627"/>
      <c r="T41" s="1630"/>
      <c r="U41" s="2465">
        <f t="shared" si="4"/>
        <v>0</v>
      </c>
      <c r="V41" s="1627">
        <v>0</v>
      </c>
      <c r="W41" s="1632">
        <v>0</v>
      </c>
      <c r="X41" s="1632"/>
    </row>
    <row r="42" spans="1:24" ht="11.25" customHeight="1" x14ac:dyDescent="0.25">
      <c r="A42" s="1169" t="str">
        <f>'Org structure'!E38</f>
        <v>4.3 - Regional Community Services Provision Management</v>
      </c>
      <c r="B42" s="293"/>
      <c r="C42" s="1627">
        <v>7384942</v>
      </c>
      <c r="D42" s="1627">
        <v>11539221</v>
      </c>
      <c r="E42" s="1628">
        <f>713060.9+2591000.01+9316084.08</f>
        <v>12620144.99</v>
      </c>
      <c r="F42" s="1629">
        <v>32815000</v>
      </c>
      <c r="G42" s="1049">
        <v>28260000</v>
      </c>
      <c r="H42" s="1049">
        <v>28260000</v>
      </c>
      <c r="I42" s="1049">
        <v>28260000</v>
      </c>
      <c r="J42" s="2472">
        <f t="shared" si="21"/>
        <v>0</v>
      </c>
      <c r="K42" s="942">
        <f t="shared" si="22"/>
        <v>0</v>
      </c>
      <c r="L42" s="2473">
        <f t="shared" si="23"/>
        <v>0</v>
      </c>
      <c r="M42" s="1170"/>
      <c r="N42" s="1629"/>
      <c r="O42" s="1627"/>
      <c r="P42" s="1628"/>
      <c r="Q42" s="978">
        <f t="shared" si="24"/>
        <v>0</v>
      </c>
      <c r="R42" s="1629"/>
      <c r="S42" s="1627"/>
      <c r="T42" s="1630"/>
      <c r="U42" s="2465">
        <f t="shared" si="4"/>
        <v>0</v>
      </c>
      <c r="V42" s="1627">
        <v>0</v>
      </c>
      <c r="W42" s="1632">
        <v>0</v>
      </c>
      <c r="X42" s="1632"/>
    </row>
    <row r="43" spans="1:24" ht="11.25" customHeight="1" x14ac:dyDescent="0.25">
      <c r="A43" s="1169">
        <f>'Org structure'!E39</f>
        <v>0</v>
      </c>
      <c r="B43" s="293"/>
      <c r="C43" s="1627"/>
      <c r="D43" s="1627"/>
      <c r="E43" s="1628"/>
      <c r="F43" s="1629"/>
      <c r="G43" s="1627">
        <v>0</v>
      </c>
      <c r="H43" s="1627">
        <v>0</v>
      </c>
      <c r="I43" s="1630">
        <v>0</v>
      </c>
      <c r="J43" s="2472">
        <f>Q403+V43</f>
        <v>0</v>
      </c>
      <c r="K43" s="942">
        <f t="shared" si="22"/>
        <v>0</v>
      </c>
      <c r="L43" s="2473">
        <f t="shared" si="23"/>
        <v>0</v>
      </c>
      <c r="M43" s="1170"/>
      <c r="N43" s="1629"/>
      <c r="O43" s="1627"/>
      <c r="P43" s="1628"/>
      <c r="Q43" s="978">
        <f t="shared" si="24"/>
        <v>0</v>
      </c>
      <c r="R43" s="1629"/>
      <c r="S43" s="1627"/>
      <c r="T43" s="1630"/>
      <c r="U43" s="2465">
        <f t="shared" si="4"/>
        <v>0</v>
      </c>
      <c r="V43" s="1627">
        <v>0</v>
      </c>
      <c r="W43" s="1632">
        <v>0</v>
      </c>
      <c r="X43" s="1632"/>
    </row>
    <row r="44" spans="1:24" ht="11.25" hidden="1" customHeight="1" x14ac:dyDescent="0.25">
      <c r="A44" s="1169">
        <f>'Org structure'!E40</f>
        <v>0</v>
      </c>
      <c r="B44" s="293"/>
      <c r="C44" s="1627"/>
      <c r="D44" s="1627"/>
      <c r="E44" s="1628"/>
      <c r="F44" s="1629"/>
      <c r="G44" s="1627"/>
      <c r="H44" s="1628"/>
      <c r="I44" s="1630"/>
      <c r="J44" s="2472">
        <f t="shared" si="21"/>
        <v>0</v>
      </c>
      <c r="K44" s="942">
        <f t="shared" si="22"/>
        <v>0</v>
      </c>
      <c r="L44" s="2473">
        <f t="shared" si="23"/>
        <v>0</v>
      </c>
      <c r="M44" s="1170"/>
      <c r="N44" s="1629"/>
      <c r="O44" s="1627"/>
      <c r="P44" s="1628"/>
      <c r="Q44" s="978">
        <f t="shared" si="24"/>
        <v>0</v>
      </c>
      <c r="R44" s="1629"/>
      <c r="S44" s="1627"/>
      <c r="T44" s="1630"/>
      <c r="U44" s="2465">
        <f t="shared" si="4"/>
        <v>0</v>
      </c>
      <c r="V44" s="1627">
        <v>0</v>
      </c>
      <c r="W44" s="1632">
        <v>0</v>
      </c>
      <c r="X44" s="1632"/>
    </row>
    <row r="45" spans="1:24" ht="11.25" hidden="1" customHeight="1" x14ac:dyDescent="0.25">
      <c r="A45" s="1169">
        <f>'Org structure'!E41</f>
        <v>0</v>
      </c>
      <c r="B45" s="293"/>
      <c r="C45" s="1627"/>
      <c r="D45" s="1627"/>
      <c r="E45" s="1628"/>
      <c r="F45" s="1629"/>
      <c r="G45" s="1627"/>
      <c r="H45" s="1628"/>
      <c r="I45" s="1630"/>
      <c r="J45" s="2472">
        <f t="shared" si="21"/>
        <v>0</v>
      </c>
      <c r="K45" s="942">
        <f t="shared" si="22"/>
        <v>0</v>
      </c>
      <c r="L45" s="2473">
        <f t="shared" si="23"/>
        <v>0</v>
      </c>
      <c r="M45" s="1170"/>
      <c r="N45" s="1629"/>
      <c r="O45" s="1627"/>
      <c r="P45" s="1628"/>
      <c r="Q45" s="978">
        <f t="shared" si="24"/>
        <v>0</v>
      </c>
      <c r="R45" s="1629"/>
      <c r="S45" s="1627"/>
      <c r="T45" s="1630"/>
      <c r="U45" s="2465">
        <f t="shared" si="4"/>
        <v>0</v>
      </c>
      <c r="V45" s="1627">
        <v>0</v>
      </c>
      <c r="W45" s="1632">
        <v>0</v>
      </c>
      <c r="X45" s="1632"/>
    </row>
    <row r="46" spans="1:24" ht="11.25" hidden="1" customHeight="1" x14ac:dyDescent="0.25">
      <c r="A46" s="1169">
        <f>'Org structure'!E42</f>
        <v>0</v>
      </c>
      <c r="B46" s="293"/>
      <c r="C46" s="1627"/>
      <c r="D46" s="1627"/>
      <c r="E46" s="1628"/>
      <c r="F46" s="1629"/>
      <c r="G46" s="1627"/>
      <c r="H46" s="1628"/>
      <c r="I46" s="1630"/>
      <c r="J46" s="2472">
        <f t="shared" si="21"/>
        <v>0</v>
      </c>
      <c r="K46" s="942">
        <f t="shared" si="22"/>
        <v>0</v>
      </c>
      <c r="L46" s="2473">
        <f t="shared" si="23"/>
        <v>0</v>
      </c>
      <c r="M46" s="1170"/>
      <c r="N46" s="1629"/>
      <c r="O46" s="1627"/>
      <c r="P46" s="1628"/>
      <c r="Q46" s="978">
        <f t="shared" si="24"/>
        <v>0</v>
      </c>
      <c r="R46" s="1629"/>
      <c r="S46" s="1627"/>
      <c r="T46" s="1630"/>
      <c r="U46" s="2465">
        <f t="shared" si="4"/>
        <v>0</v>
      </c>
      <c r="V46" s="1627">
        <v>0</v>
      </c>
      <c r="W46" s="1632">
        <v>0</v>
      </c>
      <c r="X46" s="1632"/>
    </row>
    <row r="47" spans="1:24" ht="11.25" hidden="1" customHeight="1" x14ac:dyDescent="0.25">
      <c r="A47" s="1169">
        <f>'Org structure'!E43</f>
        <v>0</v>
      </c>
      <c r="B47" s="293"/>
      <c r="C47" s="1627"/>
      <c r="D47" s="1627"/>
      <c r="E47" s="1628"/>
      <c r="F47" s="1629"/>
      <c r="G47" s="1627"/>
      <c r="H47" s="1628"/>
      <c r="I47" s="1630"/>
      <c r="J47" s="2472">
        <f t="shared" si="21"/>
        <v>0</v>
      </c>
      <c r="K47" s="942">
        <f t="shared" si="22"/>
        <v>0</v>
      </c>
      <c r="L47" s="2473">
        <f t="shared" si="23"/>
        <v>0</v>
      </c>
      <c r="M47" s="1170"/>
      <c r="N47" s="1629"/>
      <c r="O47" s="1627"/>
      <c r="P47" s="1628"/>
      <c r="Q47" s="978">
        <f t="shared" si="24"/>
        <v>0</v>
      </c>
      <c r="R47" s="1629"/>
      <c r="S47" s="1627"/>
      <c r="T47" s="1630"/>
      <c r="U47" s="2465">
        <f t="shared" si="4"/>
        <v>0</v>
      </c>
      <c r="V47" s="1627"/>
      <c r="W47" s="1632"/>
      <c r="X47" s="1632"/>
    </row>
    <row r="48" spans="1:24" ht="11.25" hidden="1" customHeight="1" x14ac:dyDescent="0.25">
      <c r="A48" s="1169">
        <f>'Org structure'!E44</f>
        <v>0</v>
      </c>
      <c r="B48" s="293"/>
      <c r="C48" s="1627"/>
      <c r="D48" s="1627"/>
      <c r="E48" s="1628"/>
      <c r="F48" s="1629"/>
      <c r="G48" s="1627"/>
      <c r="H48" s="1628"/>
      <c r="I48" s="1630"/>
      <c r="J48" s="2472">
        <f t="shared" si="21"/>
        <v>0</v>
      </c>
      <c r="K48" s="942">
        <f t="shared" si="22"/>
        <v>0</v>
      </c>
      <c r="L48" s="2473">
        <f t="shared" si="23"/>
        <v>0</v>
      </c>
      <c r="M48" s="1170"/>
      <c r="N48" s="1629"/>
      <c r="O48" s="1627"/>
      <c r="P48" s="1628"/>
      <c r="Q48" s="978">
        <f t="shared" si="24"/>
        <v>0</v>
      </c>
      <c r="R48" s="1629"/>
      <c r="S48" s="1627"/>
      <c r="T48" s="1630"/>
      <c r="U48" s="2465">
        <f t="shared" si="4"/>
        <v>0</v>
      </c>
      <c r="V48" s="1627"/>
      <c r="W48" s="1632"/>
      <c r="X48" s="1632"/>
    </row>
    <row r="49" spans="1:24" ht="11.25" hidden="1" customHeight="1" x14ac:dyDescent="0.25">
      <c r="A49" s="1169">
        <f>'Org structure'!E45</f>
        <v>0</v>
      </c>
      <c r="B49" s="293"/>
      <c r="C49" s="1627"/>
      <c r="D49" s="1627"/>
      <c r="E49" s="1628"/>
      <c r="F49" s="1629"/>
      <c r="G49" s="1627"/>
      <c r="H49" s="1628"/>
      <c r="I49" s="1630"/>
      <c r="J49" s="2472">
        <f t="shared" si="21"/>
        <v>0</v>
      </c>
      <c r="K49" s="942">
        <f t="shared" si="22"/>
        <v>0</v>
      </c>
      <c r="L49" s="2473">
        <f t="shared" si="23"/>
        <v>0</v>
      </c>
      <c r="M49" s="1170"/>
      <c r="N49" s="1629"/>
      <c r="O49" s="1627"/>
      <c r="P49" s="1628"/>
      <c r="Q49" s="978">
        <f t="shared" si="24"/>
        <v>0</v>
      </c>
      <c r="R49" s="1629"/>
      <c r="S49" s="1627"/>
      <c r="T49" s="1630"/>
      <c r="U49" s="2465">
        <f t="shared" si="4"/>
        <v>0</v>
      </c>
      <c r="V49" s="1627"/>
      <c r="W49" s="1632"/>
      <c r="X49" s="1632"/>
    </row>
    <row r="50" spans="1:24" ht="15" hidden="1" customHeight="1" x14ac:dyDescent="0.25">
      <c r="A50" s="1168" t="str">
        <f>'Org structure'!A6</f>
        <v>Vote 5 - [NAME OF VOTE 5]</v>
      </c>
      <c r="B50" s="981"/>
      <c r="C50" s="976">
        <f>SUM(C51:C60)</f>
        <v>0</v>
      </c>
      <c r="D50" s="976">
        <f t="shared" ref="D50:L50" si="25">SUM(D51:D60)</f>
        <v>0</v>
      </c>
      <c r="E50" s="977">
        <f t="shared" si="25"/>
        <v>0</v>
      </c>
      <c r="F50" s="978">
        <f t="shared" si="25"/>
        <v>0</v>
      </c>
      <c r="G50" s="976">
        <f t="shared" si="25"/>
        <v>0</v>
      </c>
      <c r="H50" s="977">
        <f t="shared" si="25"/>
        <v>0</v>
      </c>
      <c r="I50" s="979">
        <f>SUM(I51:I60)</f>
        <v>0</v>
      </c>
      <c r="J50" s="2472">
        <f t="shared" si="25"/>
        <v>0</v>
      </c>
      <c r="K50" s="942">
        <f t="shared" si="25"/>
        <v>0</v>
      </c>
      <c r="L50" s="2473">
        <f t="shared" si="25"/>
        <v>0</v>
      </c>
      <c r="M50" s="1170"/>
      <c r="N50" s="978">
        <f t="shared" ref="N50:X50" si="26">SUM(N51:N60)</f>
        <v>0</v>
      </c>
      <c r="O50" s="976">
        <f t="shared" si="26"/>
        <v>0</v>
      </c>
      <c r="P50" s="977">
        <f t="shared" si="26"/>
        <v>0</v>
      </c>
      <c r="Q50" s="978">
        <f t="shared" si="26"/>
        <v>0</v>
      </c>
      <c r="R50" s="978">
        <f t="shared" si="26"/>
        <v>0</v>
      </c>
      <c r="S50" s="976">
        <f t="shared" si="26"/>
        <v>0</v>
      </c>
      <c r="T50" s="2469">
        <f t="shared" si="26"/>
        <v>0</v>
      </c>
      <c r="U50" s="2465">
        <f t="shared" si="26"/>
        <v>0</v>
      </c>
      <c r="V50" s="2470">
        <f t="shared" si="26"/>
        <v>0</v>
      </c>
      <c r="W50" s="976">
        <f t="shared" si="26"/>
        <v>0</v>
      </c>
      <c r="X50" s="2471">
        <f t="shared" si="26"/>
        <v>0</v>
      </c>
    </row>
    <row r="51" spans="1:24" ht="11.25" hidden="1" customHeight="1" x14ac:dyDescent="0.25">
      <c r="A51" s="1169" t="str">
        <f>'Org structure'!E47</f>
        <v>5.1 - [Name of sub-vote]</v>
      </c>
      <c r="B51" s="293"/>
      <c r="C51" s="1627"/>
      <c r="D51" s="1627"/>
      <c r="E51" s="1628"/>
      <c r="F51" s="1629"/>
      <c r="G51" s="1627"/>
      <c r="H51" s="1628"/>
      <c r="I51" s="1630"/>
      <c r="J51" s="2472">
        <f t="shared" ref="J51:J60" si="27">Q51+V51</f>
        <v>0</v>
      </c>
      <c r="K51" s="942">
        <f t="shared" ref="K51:K60" si="28">U51+W51</f>
        <v>0</v>
      </c>
      <c r="L51" s="2473">
        <f t="shared" ref="L51:L60" si="29">X51</f>
        <v>0</v>
      </c>
      <c r="M51" s="1170"/>
      <c r="N51" s="1629"/>
      <c r="O51" s="1627"/>
      <c r="P51" s="1628"/>
      <c r="Q51" s="978">
        <f t="shared" ref="Q51:Q60" si="30">SUM(N51:P51)</f>
        <v>0</v>
      </c>
      <c r="R51" s="1629"/>
      <c r="S51" s="1627"/>
      <c r="T51" s="1630"/>
      <c r="U51" s="2465">
        <f t="shared" si="4"/>
        <v>0</v>
      </c>
      <c r="V51" s="1630"/>
      <c r="W51" s="1627"/>
      <c r="X51" s="1632"/>
    </row>
    <row r="52" spans="1:24" ht="11.25" hidden="1" customHeight="1" x14ac:dyDescent="0.25">
      <c r="A52" s="1169">
        <f>'Org structure'!E48</f>
        <v>0</v>
      </c>
      <c r="B52" s="293"/>
      <c r="C52" s="1627"/>
      <c r="D52" s="1627"/>
      <c r="E52" s="1628"/>
      <c r="F52" s="1629"/>
      <c r="G52" s="1627"/>
      <c r="H52" s="1628"/>
      <c r="I52" s="1630"/>
      <c r="J52" s="2472">
        <f t="shared" si="27"/>
        <v>0</v>
      </c>
      <c r="K52" s="942">
        <f t="shared" si="28"/>
        <v>0</v>
      </c>
      <c r="L52" s="2473">
        <f t="shared" si="29"/>
        <v>0</v>
      </c>
      <c r="M52" s="1170"/>
      <c r="N52" s="1629"/>
      <c r="O52" s="1627"/>
      <c r="P52" s="1628"/>
      <c r="Q52" s="978">
        <f t="shared" si="30"/>
        <v>0</v>
      </c>
      <c r="R52" s="1629"/>
      <c r="S52" s="1627"/>
      <c r="T52" s="1630"/>
      <c r="U52" s="2465">
        <f t="shared" si="4"/>
        <v>0</v>
      </c>
      <c r="V52" s="1630"/>
      <c r="W52" s="1627"/>
      <c r="X52" s="1632"/>
    </row>
    <row r="53" spans="1:24" ht="11.25" hidden="1" customHeight="1" x14ac:dyDescent="0.25">
      <c r="A53" s="1169">
        <f>'Org structure'!E49</f>
        <v>0</v>
      </c>
      <c r="B53" s="293"/>
      <c r="C53" s="1627"/>
      <c r="D53" s="1627"/>
      <c r="E53" s="1628"/>
      <c r="F53" s="1629"/>
      <c r="G53" s="1627"/>
      <c r="H53" s="1628"/>
      <c r="I53" s="1630"/>
      <c r="J53" s="2472">
        <f t="shared" si="27"/>
        <v>0</v>
      </c>
      <c r="K53" s="942">
        <f t="shared" si="28"/>
        <v>0</v>
      </c>
      <c r="L53" s="2473">
        <f t="shared" si="29"/>
        <v>0</v>
      </c>
      <c r="M53" s="1170"/>
      <c r="N53" s="1629"/>
      <c r="O53" s="1627"/>
      <c r="P53" s="1628"/>
      <c r="Q53" s="978">
        <f t="shared" si="30"/>
        <v>0</v>
      </c>
      <c r="R53" s="1629"/>
      <c r="S53" s="1627"/>
      <c r="T53" s="1630"/>
      <c r="U53" s="2465">
        <f t="shared" si="4"/>
        <v>0</v>
      </c>
      <c r="V53" s="1630"/>
      <c r="W53" s="1627"/>
      <c r="X53" s="1632"/>
    </row>
    <row r="54" spans="1:24" ht="11.25" hidden="1" customHeight="1" x14ac:dyDescent="0.25">
      <c r="A54" s="1169">
        <f>'Org structure'!E50</f>
        <v>0</v>
      </c>
      <c r="B54" s="293"/>
      <c r="C54" s="1627"/>
      <c r="D54" s="1627"/>
      <c r="E54" s="1628"/>
      <c r="F54" s="1629"/>
      <c r="G54" s="1627"/>
      <c r="H54" s="1628"/>
      <c r="I54" s="1630"/>
      <c r="J54" s="2472">
        <f t="shared" si="27"/>
        <v>0</v>
      </c>
      <c r="K54" s="942">
        <f t="shared" si="28"/>
        <v>0</v>
      </c>
      <c r="L54" s="2473">
        <f t="shared" si="29"/>
        <v>0</v>
      </c>
      <c r="M54" s="1170"/>
      <c r="N54" s="1629"/>
      <c r="O54" s="1627"/>
      <c r="P54" s="1628"/>
      <c r="Q54" s="978">
        <f t="shared" si="30"/>
        <v>0</v>
      </c>
      <c r="R54" s="1629"/>
      <c r="S54" s="1627"/>
      <c r="T54" s="1630"/>
      <c r="U54" s="2465">
        <f t="shared" si="4"/>
        <v>0</v>
      </c>
      <c r="V54" s="1630"/>
      <c r="W54" s="1627"/>
      <c r="X54" s="1632"/>
    </row>
    <row r="55" spans="1:24" ht="11.25" hidden="1" customHeight="1" x14ac:dyDescent="0.25">
      <c r="A55" s="1169">
        <f>'Org structure'!E51</f>
        <v>0</v>
      </c>
      <c r="B55" s="293"/>
      <c r="C55" s="1627"/>
      <c r="D55" s="1627"/>
      <c r="E55" s="1628"/>
      <c r="F55" s="1629"/>
      <c r="G55" s="1627"/>
      <c r="H55" s="1628"/>
      <c r="I55" s="1630"/>
      <c r="J55" s="2472">
        <f t="shared" si="27"/>
        <v>0</v>
      </c>
      <c r="K55" s="942">
        <f t="shared" si="28"/>
        <v>0</v>
      </c>
      <c r="L55" s="2473">
        <f t="shared" si="29"/>
        <v>0</v>
      </c>
      <c r="M55" s="1170"/>
      <c r="N55" s="1629"/>
      <c r="O55" s="1627"/>
      <c r="P55" s="1628"/>
      <c r="Q55" s="978">
        <f t="shared" si="30"/>
        <v>0</v>
      </c>
      <c r="R55" s="1629"/>
      <c r="S55" s="1627"/>
      <c r="T55" s="1630"/>
      <c r="U55" s="2465">
        <f t="shared" si="4"/>
        <v>0</v>
      </c>
      <c r="V55" s="1630"/>
      <c r="W55" s="1627"/>
      <c r="X55" s="1632"/>
    </row>
    <row r="56" spans="1:24" ht="11.25" hidden="1" customHeight="1" x14ac:dyDescent="0.25">
      <c r="A56" s="1169">
        <f>'Org structure'!E52</f>
        <v>0</v>
      </c>
      <c r="B56" s="293"/>
      <c r="C56" s="1627"/>
      <c r="D56" s="1627"/>
      <c r="E56" s="1628"/>
      <c r="F56" s="1629"/>
      <c r="G56" s="1627"/>
      <c r="H56" s="1628"/>
      <c r="I56" s="1630"/>
      <c r="J56" s="2472">
        <f t="shared" si="27"/>
        <v>0</v>
      </c>
      <c r="K56" s="942">
        <f t="shared" si="28"/>
        <v>0</v>
      </c>
      <c r="L56" s="2473">
        <f t="shared" si="29"/>
        <v>0</v>
      </c>
      <c r="M56" s="1170"/>
      <c r="N56" s="1629"/>
      <c r="O56" s="1627"/>
      <c r="P56" s="1628"/>
      <c r="Q56" s="978">
        <f t="shared" si="30"/>
        <v>0</v>
      </c>
      <c r="R56" s="1629"/>
      <c r="S56" s="1627"/>
      <c r="T56" s="1630"/>
      <c r="U56" s="2465">
        <f t="shared" si="4"/>
        <v>0</v>
      </c>
      <c r="V56" s="1630"/>
      <c r="W56" s="1627"/>
      <c r="X56" s="1632"/>
    </row>
    <row r="57" spans="1:24" ht="11.25" hidden="1" customHeight="1" x14ac:dyDescent="0.25">
      <c r="A57" s="1169">
        <f>'Org structure'!E53</f>
        <v>0</v>
      </c>
      <c r="B57" s="293"/>
      <c r="C57" s="1627"/>
      <c r="D57" s="1627"/>
      <c r="E57" s="1628"/>
      <c r="F57" s="1629"/>
      <c r="G57" s="1627"/>
      <c r="H57" s="1628"/>
      <c r="I57" s="1630"/>
      <c r="J57" s="2472">
        <f t="shared" si="27"/>
        <v>0</v>
      </c>
      <c r="K57" s="942">
        <f t="shared" si="28"/>
        <v>0</v>
      </c>
      <c r="L57" s="2473">
        <f t="shared" si="29"/>
        <v>0</v>
      </c>
      <c r="M57" s="1170"/>
      <c r="N57" s="1629"/>
      <c r="O57" s="1627"/>
      <c r="P57" s="1628"/>
      <c r="Q57" s="978">
        <f t="shared" si="30"/>
        <v>0</v>
      </c>
      <c r="R57" s="1629"/>
      <c r="S57" s="1627"/>
      <c r="T57" s="1630"/>
      <c r="U57" s="2465">
        <f t="shared" si="4"/>
        <v>0</v>
      </c>
      <c r="V57" s="1630"/>
      <c r="W57" s="1627"/>
      <c r="X57" s="1632"/>
    </row>
    <row r="58" spans="1:24" ht="11.25" hidden="1" customHeight="1" x14ac:dyDescent="0.25">
      <c r="A58" s="1169">
        <f>'Org structure'!E54</f>
        <v>0</v>
      </c>
      <c r="B58" s="293"/>
      <c r="C58" s="1627"/>
      <c r="D58" s="1627"/>
      <c r="E58" s="1628"/>
      <c r="F58" s="1629"/>
      <c r="G58" s="1627"/>
      <c r="H58" s="1628"/>
      <c r="I58" s="1630"/>
      <c r="J58" s="2472">
        <f t="shared" si="27"/>
        <v>0</v>
      </c>
      <c r="K58" s="942">
        <f t="shared" si="28"/>
        <v>0</v>
      </c>
      <c r="L58" s="2473">
        <f t="shared" si="29"/>
        <v>0</v>
      </c>
      <c r="M58" s="1170"/>
      <c r="N58" s="1629"/>
      <c r="O58" s="1627"/>
      <c r="P58" s="1628"/>
      <c r="Q58" s="978">
        <f t="shared" si="30"/>
        <v>0</v>
      </c>
      <c r="R58" s="1629"/>
      <c r="S58" s="1627"/>
      <c r="T58" s="1630"/>
      <c r="U58" s="2465">
        <f t="shared" si="4"/>
        <v>0</v>
      </c>
      <c r="V58" s="1630"/>
      <c r="W58" s="1627"/>
      <c r="X58" s="1632"/>
    </row>
    <row r="59" spans="1:24" ht="11.25" hidden="1" customHeight="1" x14ac:dyDescent="0.25">
      <c r="A59" s="1169">
        <f>'Org structure'!E55</f>
        <v>0</v>
      </c>
      <c r="B59" s="293"/>
      <c r="C59" s="1627"/>
      <c r="D59" s="1627"/>
      <c r="E59" s="1628"/>
      <c r="F59" s="1629"/>
      <c r="G59" s="1627"/>
      <c r="H59" s="1628"/>
      <c r="I59" s="1630"/>
      <c r="J59" s="2472">
        <f t="shared" si="27"/>
        <v>0</v>
      </c>
      <c r="K59" s="942">
        <f t="shared" si="28"/>
        <v>0</v>
      </c>
      <c r="L59" s="2473">
        <f t="shared" si="29"/>
        <v>0</v>
      </c>
      <c r="M59" s="1170"/>
      <c r="N59" s="1629"/>
      <c r="O59" s="1627"/>
      <c r="P59" s="1628"/>
      <c r="Q59" s="978">
        <f t="shared" si="30"/>
        <v>0</v>
      </c>
      <c r="R59" s="1629"/>
      <c r="S59" s="1627"/>
      <c r="T59" s="1630"/>
      <c r="U59" s="2465">
        <f t="shared" si="4"/>
        <v>0</v>
      </c>
      <c r="V59" s="1630"/>
      <c r="W59" s="1627"/>
      <c r="X59" s="1632"/>
    </row>
    <row r="60" spans="1:24" ht="11.25" hidden="1" customHeight="1" x14ac:dyDescent="0.25">
      <c r="A60" s="1169">
        <f>'Org structure'!E56</f>
        <v>0</v>
      </c>
      <c r="B60" s="293"/>
      <c r="C60" s="1627"/>
      <c r="D60" s="1627"/>
      <c r="E60" s="1628"/>
      <c r="F60" s="1629"/>
      <c r="G60" s="1627"/>
      <c r="H60" s="1628"/>
      <c r="I60" s="1630"/>
      <c r="J60" s="2472">
        <f t="shared" si="27"/>
        <v>0</v>
      </c>
      <c r="K60" s="942">
        <f t="shared" si="28"/>
        <v>0</v>
      </c>
      <c r="L60" s="2473">
        <f t="shared" si="29"/>
        <v>0</v>
      </c>
      <c r="M60" s="1170"/>
      <c r="N60" s="1629"/>
      <c r="O60" s="1627"/>
      <c r="P60" s="1628"/>
      <c r="Q60" s="978">
        <f t="shared" si="30"/>
        <v>0</v>
      </c>
      <c r="R60" s="1629"/>
      <c r="S60" s="1627"/>
      <c r="T60" s="1630"/>
      <c r="U60" s="2465">
        <f t="shared" si="4"/>
        <v>0</v>
      </c>
      <c r="V60" s="1630"/>
      <c r="W60" s="1627"/>
      <c r="X60" s="1632"/>
    </row>
    <row r="61" spans="1:24" ht="15" hidden="1" customHeight="1" x14ac:dyDescent="0.25">
      <c r="A61" s="1168" t="str">
        <f>'Org structure'!A7</f>
        <v>Vote 6 - [NAME OF VOTE 6]</v>
      </c>
      <c r="B61" s="981"/>
      <c r="C61" s="976">
        <f>SUM(C62:C71)</f>
        <v>0</v>
      </c>
      <c r="D61" s="976">
        <f t="shared" ref="D61:L61" si="31">SUM(D62:D71)</f>
        <v>0</v>
      </c>
      <c r="E61" s="977">
        <f t="shared" si="31"/>
        <v>0</v>
      </c>
      <c r="F61" s="978">
        <f t="shared" si="31"/>
        <v>0</v>
      </c>
      <c r="G61" s="976">
        <f t="shared" si="31"/>
        <v>0</v>
      </c>
      <c r="H61" s="977">
        <f t="shared" si="31"/>
        <v>0</v>
      </c>
      <c r="I61" s="979">
        <f>SUM(I62:I71)</f>
        <v>0</v>
      </c>
      <c r="J61" s="2472">
        <f t="shared" si="31"/>
        <v>0</v>
      </c>
      <c r="K61" s="942">
        <f t="shared" si="31"/>
        <v>0</v>
      </c>
      <c r="L61" s="2473">
        <f t="shared" si="31"/>
        <v>0</v>
      </c>
      <c r="M61" s="1170"/>
      <c r="N61" s="978">
        <f t="shared" ref="N61:X61" si="32">SUM(N62:N71)</f>
        <v>0</v>
      </c>
      <c r="O61" s="976">
        <f t="shared" si="32"/>
        <v>0</v>
      </c>
      <c r="P61" s="977">
        <f t="shared" si="32"/>
        <v>0</v>
      </c>
      <c r="Q61" s="978">
        <f t="shared" si="32"/>
        <v>0</v>
      </c>
      <c r="R61" s="978">
        <f t="shared" si="32"/>
        <v>0</v>
      </c>
      <c r="S61" s="976">
        <f t="shared" si="32"/>
        <v>0</v>
      </c>
      <c r="T61" s="2469">
        <f t="shared" si="32"/>
        <v>0</v>
      </c>
      <c r="U61" s="2465">
        <f t="shared" si="32"/>
        <v>0</v>
      </c>
      <c r="V61" s="2470">
        <f t="shared" si="32"/>
        <v>0</v>
      </c>
      <c r="W61" s="976">
        <f t="shared" si="32"/>
        <v>0</v>
      </c>
      <c r="X61" s="2471">
        <f t="shared" si="32"/>
        <v>0</v>
      </c>
    </row>
    <row r="62" spans="1:24" ht="11.25" hidden="1" customHeight="1" x14ac:dyDescent="0.25">
      <c r="A62" s="1169" t="str">
        <f>'Org structure'!E58</f>
        <v>6.1 - [Name of sub-vote]</v>
      </c>
      <c r="B62" s="293"/>
      <c r="C62" s="1627"/>
      <c r="D62" s="1627"/>
      <c r="E62" s="1628"/>
      <c r="F62" s="1629"/>
      <c r="G62" s="1627"/>
      <c r="H62" s="1628"/>
      <c r="I62" s="1630"/>
      <c r="J62" s="2472">
        <f t="shared" ref="J62:J71" si="33">Q62+V62</f>
        <v>0</v>
      </c>
      <c r="K62" s="942">
        <f t="shared" ref="K62:K71" si="34">U62+W62</f>
        <v>0</v>
      </c>
      <c r="L62" s="2473">
        <f t="shared" ref="L62:L71" si="35">X62</f>
        <v>0</v>
      </c>
      <c r="M62" s="1170"/>
      <c r="N62" s="1629"/>
      <c r="O62" s="1627"/>
      <c r="P62" s="1628"/>
      <c r="Q62" s="978">
        <f t="shared" ref="Q62:Q71" si="36">SUM(N62:P62)</f>
        <v>0</v>
      </c>
      <c r="R62" s="1629"/>
      <c r="S62" s="1627"/>
      <c r="T62" s="1630"/>
      <c r="U62" s="2465">
        <f t="shared" si="4"/>
        <v>0</v>
      </c>
      <c r="V62" s="1630"/>
      <c r="W62" s="1627"/>
      <c r="X62" s="1632"/>
    </row>
    <row r="63" spans="1:24" ht="11.25" hidden="1" customHeight="1" x14ac:dyDescent="0.25">
      <c r="A63" s="1169">
        <f>'Org structure'!E59</f>
        <v>0</v>
      </c>
      <c r="B63" s="293"/>
      <c r="C63" s="1627"/>
      <c r="D63" s="1627"/>
      <c r="E63" s="1628"/>
      <c r="F63" s="1629"/>
      <c r="G63" s="1627"/>
      <c r="H63" s="1628"/>
      <c r="I63" s="1630"/>
      <c r="J63" s="2472">
        <f t="shared" si="33"/>
        <v>0</v>
      </c>
      <c r="K63" s="942">
        <f t="shared" si="34"/>
        <v>0</v>
      </c>
      <c r="L63" s="2473">
        <f t="shared" si="35"/>
        <v>0</v>
      </c>
      <c r="M63" s="1170"/>
      <c r="N63" s="1629"/>
      <c r="O63" s="1627"/>
      <c r="P63" s="1628"/>
      <c r="Q63" s="978">
        <f t="shared" si="36"/>
        <v>0</v>
      </c>
      <c r="R63" s="1629"/>
      <c r="S63" s="1627"/>
      <c r="T63" s="1630"/>
      <c r="U63" s="2465">
        <f t="shared" si="4"/>
        <v>0</v>
      </c>
      <c r="V63" s="1630"/>
      <c r="W63" s="1627"/>
      <c r="X63" s="1632"/>
    </row>
    <row r="64" spans="1:24" ht="11.25" hidden="1" customHeight="1" x14ac:dyDescent="0.25">
      <c r="A64" s="1169">
        <f>'Org structure'!E60</f>
        <v>0</v>
      </c>
      <c r="B64" s="293"/>
      <c r="C64" s="1627"/>
      <c r="D64" s="1627"/>
      <c r="E64" s="1628"/>
      <c r="F64" s="1629"/>
      <c r="G64" s="1627"/>
      <c r="H64" s="1628"/>
      <c r="I64" s="1630"/>
      <c r="J64" s="2472">
        <f t="shared" si="33"/>
        <v>0</v>
      </c>
      <c r="K64" s="942">
        <f t="shared" si="34"/>
        <v>0</v>
      </c>
      <c r="L64" s="2473">
        <f t="shared" si="35"/>
        <v>0</v>
      </c>
      <c r="M64" s="1170"/>
      <c r="N64" s="1629"/>
      <c r="O64" s="1627"/>
      <c r="P64" s="1628"/>
      <c r="Q64" s="978">
        <f t="shared" si="36"/>
        <v>0</v>
      </c>
      <c r="R64" s="1629"/>
      <c r="S64" s="1627"/>
      <c r="T64" s="1630"/>
      <c r="U64" s="2465">
        <f t="shared" si="4"/>
        <v>0</v>
      </c>
      <c r="V64" s="1630"/>
      <c r="W64" s="1627"/>
      <c r="X64" s="1632"/>
    </row>
    <row r="65" spans="1:24" ht="11.25" hidden="1" customHeight="1" x14ac:dyDescent="0.25">
      <c r="A65" s="1169">
        <f>'Org structure'!E61</f>
        <v>0</v>
      </c>
      <c r="B65" s="293"/>
      <c r="C65" s="1627"/>
      <c r="D65" s="1627"/>
      <c r="E65" s="1628"/>
      <c r="F65" s="1629"/>
      <c r="G65" s="1627"/>
      <c r="H65" s="1628"/>
      <c r="I65" s="1630"/>
      <c r="J65" s="2472">
        <f t="shared" si="33"/>
        <v>0</v>
      </c>
      <c r="K65" s="942">
        <f t="shared" si="34"/>
        <v>0</v>
      </c>
      <c r="L65" s="2473">
        <f t="shared" si="35"/>
        <v>0</v>
      </c>
      <c r="M65" s="1170"/>
      <c r="N65" s="1629"/>
      <c r="O65" s="1627"/>
      <c r="P65" s="1628"/>
      <c r="Q65" s="978">
        <f t="shared" si="36"/>
        <v>0</v>
      </c>
      <c r="R65" s="1629"/>
      <c r="S65" s="1627"/>
      <c r="T65" s="1630"/>
      <c r="U65" s="2465">
        <f t="shared" si="4"/>
        <v>0</v>
      </c>
      <c r="V65" s="1630"/>
      <c r="W65" s="1627"/>
      <c r="X65" s="1632"/>
    </row>
    <row r="66" spans="1:24" ht="11.25" hidden="1" customHeight="1" x14ac:dyDescent="0.25">
      <c r="A66" s="1169">
        <f>'Org structure'!E62</f>
        <v>0</v>
      </c>
      <c r="B66" s="293"/>
      <c r="C66" s="1627"/>
      <c r="D66" s="1627"/>
      <c r="E66" s="1628"/>
      <c r="F66" s="1629"/>
      <c r="G66" s="1627"/>
      <c r="H66" s="1628"/>
      <c r="I66" s="1630"/>
      <c r="J66" s="2472">
        <f t="shared" si="33"/>
        <v>0</v>
      </c>
      <c r="K66" s="942">
        <f t="shared" si="34"/>
        <v>0</v>
      </c>
      <c r="L66" s="2473">
        <f t="shared" si="35"/>
        <v>0</v>
      </c>
      <c r="M66" s="1170"/>
      <c r="N66" s="1629"/>
      <c r="O66" s="1627"/>
      <c r="P66" s="1628"/>
      <c r="Q66" s="978">
        <f t="shared" si="36"/>
        <v>0</v>
      </c>
      <c r="R66" s="1629"/>
      <c r="S66" s="1627"/>
      <c r="T66" s="1630"/>
      <c r="U66" s="2465">
        <f t="shared" si="4"/>
        <v>0</v>
      </c>
      <c r="V66" s="1630"/>
      <c r="W66" s="1627"/>
      <c r="X66" s="1632"/>
    </row>
    <row r="67" spans="1:24" ht="11.25" hidden="1" customHeight="1" x14ac:dyDescent="0.25">
      <c r="A67" s="1169">
        <f>'Org structure'!E63</f>
        <v>0</v>
      </c>
      <c r="B67" s="293"/>
      <c r="C67" s="1627"/>
      <c r="D67" s="1627"/>
      <c r="E67" s="1628"/>
      <c r="F67" s="1629"/>
      <c r="G67" s="1627"/>
      <c r="H67" s="1628"/>
      <c r="I67" s="1630"/>
      <c r="J67" s="2472">
        <f t="shared" si="33"/>
        <v>0</v>
      </c>
      <c r="K67" s="942">
        <f t="shared" si="34"/>
        <v>0</v>
      </c>
      <c r="L67" s="2473">
        <f t="shared" si="35"/>
        <v>0</v>
      </c>
      <c r="M67" s="1170"/>
      <c r="N67" s="1629"/>
      <c r="O67" s="1627"/>
      <c r="P67" s="1628"/>
      <c r="Q67" s="978">
        <f t="shared" si="36"/>
        <v>0</v>
      </c>
      <c r="R67" s="1629"/>
      <c r="S67" s="1627"/>
      <c r="T67" s="1630"/>
      <c r="U67" s="2465">
        <f t="shared" si="4"/>
        <v>0</v>
      </c>
      <c r="V67" s="1630"/>
      <c r="W67" s="1627"/>
      <c r="X67" s="1632"/>
    </row>
    <row r="68" spans="1:24" ht="11.25" hidden="1" customHeight="1" x14ac:dyDescent="0.25">
      <c r="A68" s="1169">
        <f>'Org structure'!E64</f>
        <v>0</v>
      </c>
      <c r="B68" s="293"/>
      <c r="C68" s="1627"/>
      <c r="D68" s="1627"/>
      <c r="E68" s="1628"/>
      <c r="F68" s="1629"/>
      <c r="G68" s="1627"/>
      <c r="H68" s="1628"/>
      <c r="I68" s="1630"/>
      <c r="J68" s="2472">
        <f t="shared" si="33"/>
        <v>0</v>
      </c>
      <c r="K68" s="942">
        <f t="shared" si="34"/>
        <v>0</v>
      </c>
      <c r="L68" s="2473">
        <f t="shared" si="35"/>
        <v>0</v>
      </c>
      <c r="M68" s="1170"/>
      <c r="N68" s="1629"/>
      <c r="O68" s="1627"/>
      <c r="P68" s="1628"/>
      <c r="Q68" s="978">
        <f t="shared" si="36"/>
        <v>0</v>
      </c>
      <c r="R68" s="1629"/>
      <c r="S68" s="1627"/>
      <c r="T68" s="1630"/>
      <c r="U68" s="2465">
        <f t="shared" si="4"/>
        <v>0</v>
      </c>
      <c r="V68" s="1630"/>
      <c r="W68" s="1627"/>
      <c r="X68" s="1632"/>
    </row>
    <row r="69" spans="1:24" ht="11.25" hidden="1" customHeight="1" x14ac:dyDescent="0.25">
      <c r="A69" s="1169">
        <f>'Org structure'!E65</f>
        <v>0</v>
      </c>
      <c r="B69" s="293"/>
      <c r="C69" s="1627"/>
      <c r="D69" s="1627"/>
      <c r="E69" s="1628"/>
      <c r="F69" s="1629"/>
      <c r="G69" s="1627"/>
      <c r="H69" s="1628"/>
      <c r="I69" s="1630"/>
      <c r="J69" s="2472">
        <f t="shared" si="33"/>
        <v>0</v>
      </c>
      <c r="K69" s="942">
        <f t="shared" si="34"/>
        <v>0</v>
      </c>
      <c r="L69" s="2473">
        <f t="shared" si="35"/>
        <v>0</v>
      </c>
      <c r="M69" s="1170"/>
      <c r="N69" s="1629"/>
      <c r="O69" s="1627"/>
      <c r="P69" s="1628"/>
      <c r="Q69" s="978">
        <f t="shared" si="36"/>
        <v>0</v>
      </c>
      <c r="R69" s="1629"/>
      <c r="S69" s="1627"/>
      <c r="T69" s="1630"/>
      <c r="U69" s="2465">
        <f t="shared" si="4"/>
        <v>0</v>
      </c>
      <c r="V69" s="1630"/>
      <c r="W69" s="1627"/>
      <c r="X69" s="1632"/>
    </row>
    <row r="70" spans="1:24" ht="11.25" hidden="1" customHeight="1" x14ac:dyDescent="0.25">
      <c r="A70" s="1169">
        <f>'Org structure'!E66</f>
        <v>0</v>
      </c>
      <c r="B70" s="293"/>
      <c r="C70" s="1627"/>
      <c r="D70" s="1627"/>
      <c r="E70" s="1628"/>
      <c r="F70" s="1629"/>
      <c r="G70" s="1627"/>
      <c r="H70" s="1628"/>
      <c r="I70" s="1630"/>
      <c r="J70" s="2472">
        <f t="shared" si="33"/>
        <v>0</v>
      </c>
      <c r="K70" s="942">
        <f t="shared" si="34"/>
        <v>0</v>
      </c>
      <c r="L70" s="2473">
        <f t="shared" si="35"/>
        <v>0</v>
      </c>
      <c r="M70" s="1170"/>
      <c r="N70" s="1629"/>
      <c r="O70" s="1627"/>
      <c r="P70" s="1628"/>
      <c r="Q70" s="978">
        <f t="shared" si="36"/>
        <v>0</v>
      </c>
      <c r="R70" s="1629"/>
      <c r="S70" s="1627"/>
      <c r="T70" s="1630"/>
      <c r="U70" s="2465">
        <f t="shared" si="4"/>
        <v>0</v>
      </c>
      <c r="V70" s="1630"/>
      <c r="W70" s="1627"/>
      <c r="X70" s="1632"/>
    </row>
    <row r="71" spans="1:24" ht="11.25" hidden="1" customHeight="1" x14ac:dyDescent="0.25">
      <c r="A71" s="1169">
        <f>'Org structure'!E67</f>
        <v>0</v>
      </c>
      <c r="B71" s="293"/>
      <c r="C71" s="1627"/>
      <c r="D71" s="1627"/>
      <c r="E71" s="1628"/>
      <c r="F71" s="1629"/>
      <c r="G71" s="1627"/>
      <c r="H71" s="1628"/>
      <c r="I71" s="1630"/>
      <c r="J71" s="2472">
        <f t="shared" si="33"/>
        <v>0</v>
      </c>
      <c r="K71" s="942">
        <f t="shared" si="34"/>
        <v>0</v>
      </c>
      <c r="L71" s="2473">
        <f t="shared" si="35"/>
        <v>0</v>
      </c>
      <c r="M71" s="1170"/>
      <c r="N71" s="1629"/>
      <c r="O71" s="1627"/>
      <c r="P71" s="1628"/>
      <c r="Q71" s="978">
        <f t="shared" si="36"/>
        <v>0</v>
      </c>
      <c r="R71" s="1629"/>
      <c r="S71" s="1627"/>
      <c r="T71" s="1630"/>
      <c r="U71" s="2465">
        <f t="shared" si="4"/>
        <v>0</v>
      </c>
      <c r="V71" s="1630"/>
      <c r="W71" s="1627"/>
      <c r="X71" s="1632"/>
    </row>
    <row r="72" spans="1:24" ht="15" hidden="1" customHeight="1" x14ac:dyDescent="0.25">
      <c r="A72" s="1168" t="str">
        <f>'Org structure'!A8</f>
        <v>Vote 7 - [NAME OF VOTE 7]</v>
      </c>
      <c r="B72" s="981"/>
      <c r="C72" s="976">
        <f t="shared" ref="C72:L72" si="37">SUM(C73:C82)</f>
        <v>0</v>
      </c>
      <c r="D72" s="976">
        <f t="shared" si="37"/>
        <v>0</v>
      </c>
      <c r="E72" s="977">
        <f t="shared" si="37"/>
        <v>0</v>
      </c>
      <c r="F72" s="978">
        <f t="shared" si="37"/>
        <v>0</v>
      </c>
      <c r="G72" s="976">
        <f t="shared" si="37"/>
        <v>0</v>
      </c>
      <c r="H72" s="977">
        <f t="shared" si="37"/>
        <v>0</v>
      </c>
      <c r="I72" s="979">
        <f t="shared" si="37"/>
        <v>0</v>
      </c>
      <c r="J72" s="2472">
        <f t="shared" si="37"/>
        <v>0</v>
      </c>
      <c r="K72" s="942">
        <f t="shared" si="37"/>
        <v>0</v>
      </c>
      <c r="L72" s="2473">
        <f t="shared" si="37"/>
        <v>0</v>
      </c>
      <c r="M72" s="1170"/>
      <c r="N72" s="978">
        <f t="shared" ref="N72:X72" si="38">SUM(N73:N82)</f>
        <v>0</v>
      </c>
      <c r="O72" s="976">
        <f t="shared" si="38"/>
        <v>0</v>
      </c>
      <c r="P72" s="977">
        <f t="shared" si="38"/>
        <v>0</v>
      </c>
      <c r="Q72" s="978">
        <f t="shared" si="38"/>
        <v>0</v>
      </c>
      <c r="R72" s="978">
        <f t="shared" si="38"/>
        <v>0</v>
      </c>
      <c r="S72" s="976">
        <f t="shared" si="38"/>
        <v>0</v>
      </c>
      <c r="T72" s="2469">
        <f t="shared" si="38"/>
        <v>0</v>
      </c>
      <c r="U72" s="2465">
        <f t="shared" si="38"/>
        <v>0</v>
      </c>
      <c r="V72" s="2470">
        <f t="shared" si="38"/>
        <v>0</v>
      </c>
      <c r="W72" s="976">
        <f t="shared" si="38"/>
        <v>0</v>
      </c>
      <c r="X72" s="2471">
        <f t="shared" si="38"/>
        <v>0</v>
      </c>
    </row>
    <row r="73" spans="1:24" ht="11.25" hidden="1" customHeight="1" x14ac:dyDescent="0.25">
      <c r="A73" s="1169" t="str">
        <f>'Org structure'!E69</f>
        <v>7.1 - [Name of sub-vote]</v>
      </c>
      <c r="B73" s="293"/>
      <c r="C73" s="1627"/>
      <c r="D73" s="1627"/>
      <c r="E73" s="1628"/>
      <c r="F73" s="1629"/>
      <c r="G73" s="1627"/>
      <c r="H73" s="1628"/>
      <c r="I73" s="1630"/>
      <c r="J73" s="2472">
        <f t="shared" ref="J73:J82" si="39">Q73+V73</f>
        <v>0</v>
      </c>
      <c r="K73" s="942">
        <f t="shared" ref="K73:K82" si="40">U73+W73</f>
        <v>0</v>
      </c>
      <c r="L73" s="2473">
        <f t="shared" ref="L73:L82" si="41">X73</f>
        <v>0</v>
      </c>
      <c r="M73" s="1170"/>
      <c r="N73" s="1629"/>
      <c r="O73" s="1627"/>
      <c r="P73" s="1628"/>
      <c r="Q73" s="978">
        <f t="shared" ref="Q73:Q82" si="42">SUM(N73:P73)</f>
        <v>0</v>
      </c>
      <c r="R73" s="1629"/>
      <c r="S73" s="1627"/>
      <c r="T73" s="1630"/>
      <c r="U73" s="2465">
        <f t="shared" ref="U73:U135" si="43">SUM(R73:T73)</f>
        <v>0</v>
      </c>
      <c r="V73" s="1630"/>
      <c r="W73" s="1627"/>
      <c r="X73" s="1632"/>
    </row>
    <row r="74" spans="1:24" ht="11.25" hidden="1" customHeight="1" x14ac:dyDescent="0.25">
      <c r="A74" s="1169">
        <f>'Org structure'!E70</f>
        <v>0</v>
      </c>
      <c r="B74" s="293"/>
      <c r="C74" s="1627"/>
      <c r="D74" s="1627"/>
      <c r="E74" s="1628"/>
      <c r="F74" s="1629"/>
      <c r="G74" s="1627"/>
      <c r="H74" s="1628"/>
      <c r="I74" s="1630"/>
      <c r="J74" s="2472">
        <f t="shared" si="39"/>
        <v>0</v>
      </c>
      <c r="K74" s="942">
        <f t="shared" si="40"/>
        <v>0</v>
      </c>
      <c r="L74" s="2473">
        <f t="shared" si="41"/>
        <v>0</v>
      </c>
      <c r="M74" s="1170"/>
      <c r="N74" s="1629"/>
      <c r="O74" s="1627"/>
      <c r="P74" s="1628"/>
      <c r="Q74" s="978">
        <f t="shared" si="42"/>
        <v>0</v>
      </c>
      <c r="R74" s="1629"/>
      <c r="S74" s="1627"/>
      <c r="T74" s="1630"/>
      <c r="U74" s="2465">
        <f t="shared" si="43"/>
        <v>0</v>
      </c>
      <c r="V74" s="1630"/>
      <c r="W74" s="1627"/>
      <c r="X74" s="1632"/>
    </row>
    <row r="75" spans="1:24" ht="11.25" hidden="1" customHeight="1" x14ac:dyDescent="0.25">
      <c r="A75" s="1169">
        <f>'Org structure'!E71</f>
        <v>0</v>
      </c>
      <c r="B75" s="293"/>
      <c r="C75" s="1627"/>
      <c r="D75" s="1627"/>
      <c r="E75" s="1628"/>
      <c r="F75" s="1629"/>
      <c r="G75" s="1627"/>
      <c r="H75" s="1628"/>
      <c r="I75" s="1630"/>
      <c r="J75" s="2472">
        <f t="shared" si="39"/>
        <v>0</v>
      </c>
      <c r="K75" s="942">
        <f t="shared" si="40"/>
        <v>0</v>
      </c>
      <c r="L75" s="2473">
        <f t="shared" si="41"/>
        <v>0</v>
      </c>
      <c r="M75" s="1170"/>
      <c r="N75" s="1629"/>
      <c r="O75" s="1627"/>
      <c r="P75" s="1628"/>
      <c r="Q75" s="978">
        <f t="shared" si="42"/>
        <v>0</v>
      </c>
      <c r="R75" s="1629"/>
      <c r="S75" s="1627"/>
      <c r="T75" s="1630"/>
      <c r="U75" s="2465">
        <f t="shared" si="43"/>
        <v>0</v>
      </c>
      <c r="V75" s="1630"/>
      <c r="W75" s="1627"/>
      <c r="X75" s="1632"/>
    </row>
    <row r="76" spans="1:24" ht="11.25" hidden="1" customHeight="1" x14ac:dyDescent="0.25">
      <c r="A76" s="1169">
        <f>'Org structure'!E72</f>
        <v>0</v>
      </c>
      <c r="B76" s="293"/>
      <c r="C76" s="1627"/>
      <c r="D76" s="1627"/>
      <c r="E76" s="1628"/>
      <c r="F76" s="1629"/>
      <c r="G76" s="1627"/>
      <c r="H76" s="1628"/>
      <c r="I76" s="1630"/>
      <c r="J76" s="2472">
        <f t="shared" si="39"/>
        <v>0</v>
      </c>
      <c r="K76" s="942">
        <f t="shared" si="40"/>
        <v>0</v>
      </c>
      <c r="L76" s="2473">
        <f t="shared" si="41"/>
        <v>0</v>
      </c>
      <c r="M76" s="1170"/>
      <c r="N76" s="1629"/>
      <c r="O76" s="1627"/>
      <c r="P76" s="1628"/>
      <c r="Q76" s="978">
        <f t="shared" si="42"/>
        <v>0</v>
      </c>
      <c r="R76" s="1629"/>
      <c r="S76" s="1627"/>
      <c r="T76" s="1630"/>
      <c r="U76" s="2465">
        <f t="shared" si="43"/>
        <v>0</v>
      </c>
      <c r="V76" s="1630"/>
      <c r="W76" s="1627"/>
      <c r="X76" s="1632"/>
    </row>
    <row r="77" spans="1:24" ht="11.25" hidden="1" customHeight="1" x14ac:dyDescent="0.25">
      <c r="A77" s="1169">
        <f>'Org structure'!E73</f>
        <v>0</v>
      </c>
      <c r="B77" s="293"/>
      <c r="C77" s="1627"/>
      <c r="D77" s="1627"/>
      <c r="E77" s="1628"/>
      <c r="F77" s="1629"/>
      <c r="G77" s="1627"/>
      <c r="H77" s="1628"/>
      <c r="I77" s="1630"/>
      <c r="J77" s="2472">
        <f t="shared" si="39"/>
        <v>0</v>
      </c>
      <c r="K77" s="942">
        <f t="shared" si="40"/>
        <v>0</v>
      </c>
      <c r="L77" s="2473">
        <f t="shared" si="41"/>
        <v>0</v>
      </c>
      <c r="M77" s="1170"/>
      <c r="N77" s="1629"/>
      <c r="O77" s="1627"/>
      <c r="P77" s="1628"/>
      <c r="Q77" s="978">
        <f t="shared" si="42"/>
        <v>0</v>
      </c>
      <c r="R77" s="1629"/>
      <c r="S77" s="1627"/>
      <c r="T77" s="1630"/>
      <c r="U77" s="2465">
        <f t="shared" si="43"/>
        <v>0</v>
      </c>
      <c r="V77" s="1630"/>
      <c r="W77" s="1627"/>
      <c r="X77" s="1632"/>
    </row>
    <row r="78" spans="1:24" ht="11.25" hidden="1" customHeight="1" x14ac:dyDescent="0.25">
      <c r="A78" s="1169">
        <f>'Org structure'!E74</f>
        <v>0</v>
      </c>
      <c r="B78" s="293"/>
      <c r="C78" s="1627"/>
      <c r="D78" s="1627"/>
      <c r="E78" s="1628"/>
      <c r="F78" s="1629"/>
      <c r="G78" s="1627"/>
      <c r="H78" s="1628"/>
      <c r="I78" s="1630"/>
      <c r="J78" s="2472">
        <f t="shared" si="39"/>
        <v>0</v>
      </c>
      <c r="K78" s="942">
        <f t="shared" si="40"/>
        <v>0</v>
      </c>
      <c r="L78" s="2473">
        <f t="shared" si="41"/>
        <v>0</v>
      </c>
      <c r="M78" s="1170"/>
      <c r="N78" s="1629"/>
      <c r="O78" s="1627"/>
      <c r="P78" s="1628"/>
      <c r="Q78" s="978">
        <f t="shared" si="42"/>
        <v>0</v>
      </c>
      <c r="R78" s="1629"/>
      <c r="S78" s="1627"/>
      <c r="T78" s="1630"/>
      <c r="U78" s="2465">
        <f t="shared" si="43"/>
        <v>0</v>
      </c>
      <c r="V78" s="1630"/>
      <c r="W78" s="1627"/>
      <c r="X78" s="1632"/>
    </row>
    <row r="79" spans="1:24" ht="11.25" hidden="1" customHeight="1" x14ac:dyDescent="0.25">
      <c r="A79" s="1169">
        <f>'Org structure'!E75</f>
        <v>0</v>
      </c>
      <c r="B79" s="293"/>
      <c r="C79" s="1627"/>
      <c r="D79" s="1627"/>
      <c r="E79" s="1628"/>
      <c r="F79" s="1629"/>
      <c r="G79" s="1627"/>
      <c r="H79" s="1628"/>
      <c r="I79" s="1630"/>
      <c r="J79" s="2472">
        <f t="shared" si="39"/>
        <v>0</v>
      </c>
      <c r="K79" s="942">
        <f t="shared" si="40"/>
        <v>0</v>
      </c>
      <c r="L79" s="2473">
        <f t="shared" si="41"/>
        <v>0</v>
      </c>
      <c r="M79" s="1170"/>
      <c r="N79" s="1629"/>
      <c r="O79" s="1627"/>
      <c r="P79" s="1628"/>
      <c r="Q79" s="978">
        <f t="shared" si="42"/>
        <v>0</v>
      </c>
      <c r="R79" s="1629"/>
      <c r="S79" s="1627"/>
      <c r="T79" s="1630"/>
      <c r="U79" s="2465">
        <f t="shared" si="43"/>
        <v>0</v>
      </c>
      <c r="V79" s="1630"/>
      <c r="W79" s="1627"/>
      <c r="X79" s="1632"/>
    </row>
    <row r="80" spans="1:24" ht="11.25" hidden="1" customHeight="1" x14ac:dyDescent="0.25">
      <c r="A80" s="1169">
        <f>'Org structure'!E76</f>
        <v>0</v>
      </c>
      <c r="B80" s="293"/>
      <c r="C80" s="1627"/>
      <c r="D80" s="1627"/>
      <c r="E80" s="1628"/>
      <c r="F80" s="1629"/>
      <c r="G80" s="1627"/>
      <c r="H80" s="1628"/>
      <c r="I80" s="1630"/>
      <c r="J80" s="2472">
        <f t="shared" si="39"/>
        <v>0</v>
      </c>
      <c r="K80" s="942">
        <f t="shared" si="40"/>
        <v>0</v>
      </c>
      <c r="L80" s="2473">
        <f t="shared" si="41"/>
        <v>0</v>
      </c>
      <c r="M80" s="1170"/>
      <c r="N80" s="1629"/>
      <c r="O80" s="1627"/>
      <c r="P80" s="1628"/>
      <c r="Q80" s="978">
        <f t="shared" si="42"/>
        <v>0</v>
      </c>
      <c r="R80" s="1629"/>
      <c r="S80" s="1627"/>
      <c r="T80" s="1630"/>
      <c r="U80" s="2465">
        <f t="shared" si="43"/>
        <v>0</v>
      </c>
      <c r="V80" s="1630"/>
      <c r="W80" s="1627"/>
      <c r="X80" s="1632"/>
    </row>
    <row r="81" spans="1:24" ht="11.25" hidden="1" customHeight="1" x14ac:dyDescent="0.25">
      <c r="A81" s="1169">
        <f>'Org structure'!E77</f>
        <v>0</v>
      </c>
      <c r="B81" s="293"/>
      <c r="C81" s="1627"/>
      <c r="D81" s="1627"/>
      <c r="E81" s="1628"/>
      <c r="F81" s="1629"/>
      <c r="G81" s="1627"/>
      <c r="H81" s="1628"/>
      <c r="I81" s="1630"/>
      <c r="J81" s="2472">
        <f t="shared" si="39"/>
        <v>0</v>
      </c>
      <c r="K81" s="942">
        <f t="shared" si="40"/>
        <v>0</v>
      </c>
      <c r="L81" s="2473">
        <f t="shared" si="41"/>
        <v>0</v>
      </c>
      <c r="M81" s="1170"/>
      <c r="N81" s="1629"/>
      <c r="O81" s="1627"/>
      <c r="P81" s="1628"/>
      <c r="Q81" s="978">
        <f t="shared" si="42"/>
        <v>0</v>
      </c>
      <c r="R81" s="1629"/>
      <c r="S81" s="1627"/>
      <c r="T81" s="1630"/>
      <c r="U81" s="2465">
        <f t="shared" si="43"/>
        <v>0</v>
      </c>
      <c r="V81" s="1630"/>
      <c r="W81" s="1627"/>
      <c r="X81" s="1632"/>
    </row>
    <row r="82" spans="1:24" ht="11.25" hidden="1" customHeight="1" x14ac:dyDescent="0.25">
      <c r="A82" s="1169">
        <f>'Org structure'!E78</f>
        <v>0</v>
      </c>
      <c r="B82" s="293"/>
      <c r="C82" s="1627"/>
      <c r="D82" s="1627"/>
      <c r="E82" s="1628"/>
      <c r="F82" s="1629"/>
      <c r="G82" s="1627"/>
      <c r="H82" s="1628"/>
      <c r="I82" s="1630"/>
      <c r="J82" s="2472">
        <f t="shared" si="39"/>
        <v>0</v>
      </c>
      <c r="K82" s="942">
        <f t="shared" si="40"/>
        <v>0</v>
      </c>
      <c r="L82" s="2473">
        <f t="shared" si="41"/>
        <v>0</v>
      </c>
      <c r="M82" s="1170"/>
      <c r="N82" s="1629"/>
      <c r="O82" s="1627"/>
      <c r="P82" s="1628"/>
      <c r="Q82" s="978">
        <f t="shared" si="42"/>
        <v>0</v>
      </c>
      <c r="R82" s="1629"/>
      <c r="S82" s="1627"/>
      <c r="T82" s="1630"/>
      <c r="U82" s="2465">
        <f t="shared" si="43"/>
        <v>0</v>
      </c>
      <c r="V82" s="1630"/>
      <c r="W82" s="1627"/>
      <c r="X82" s="1632"/>
    </row>
    <row r="83" spans="1:24" ht="15" hidden="1" customHeight="1" x14ac:dyDescent="0.25">
      <c r="A83" s="1168" t="str">
        <f>'Org structure'!A9</f>
        <v>Vote 8 - [NAME OF VOTE 8]</v>
      </c>
      <c r="B83" s="293"/>
      <c r="C83" s="976">
        <f t="shared" ref="C83:L83" si="44">SUM(C84:C93)</f>
        <v>0</v>
      </c>
      <c r="D83" s="976">
        <f t="shared" si="44"/>
        <v>0</v>
      </c>
      <c r="E83" s="977">
        <f t="shared" si="44"/>
        <v>0</v>
      </c>
      <c r="F83" s="978">
        <f t="shared" si="44"/>
        <v>0</v>
      </c>
      <c r="G83" s="976">
        <f t="shared" si="44"/>
        <v>0</v>
      </c>
      <c r="H83" s="977">
        <f t="shared" si="44"/>
        <v>0</v>
      </c>
      <c r="I83" s="979">
        <f t="shared" si="44"/>
        <v>0</v>
      </c>
      <c r="J83" s="2472">
        <f t="shared" si="44"/>
        <v>0</v>
      </c>
      <c r="K83" s="942">
        <f t="shared" si="44"/>
        <v>0</v>
      </c>
      <c r="L83" s="2473">
        <f t="shared" si="44"/>
        <v>0</v>
      </c>
      <c r="M83" s="320"/>
      <c r="N83" s="978">
        <f t="shared" ref="N83:X83" si="45">SUM(N84:N93)</f>
        <v>0</v>
      </c>
      <c r="O83" s="976">
        <f t="shared" si="45"/>
        <v>0</v>
      </c>
      <c r="P83" s="977">
        <f t="shared" si="45"/>
        <v>0</v>
      </c>
      <c r="Q83" s="978">
        <f t="shared" si="45"/>
        <v>0</v>
      </c>
      <c r="R83" s="978">
        <f t="shared" si="45"/>
        <v>0</v>
      </c>
      <c r="S83" s="976">
        <f t="shared" si="45"/>
        <v>0</v>
      </c>
      <c r="T83" s="2469">
        <f t="shared" si="45"/>
        <v>0</v>
      </c>
      <c r="U83" s="2465">
        <f t="shared" si="45"/>
        <v>0</v>
      </c>
      <c r="V83" s="2470">
        <f t="shared" si="45"/>
        <v>0</v>
      </c>
      <c r="W83" s="976">
        <f t="shared" si="45"/>
        <v>0</v>
      </c>
      <c r="X83" s="2471">
        <f t="shared" si="45"/>
        <v>0</v>
      </c>
    </row>
    <row r="84" spans="1:24" ht="11.25" hidden="1" customHeight="1" x14ac:dyDescent="0.25">
      <c r="A84" s="1169" t="str">
        <f>'Org structure'!E80</f>
        <v>8.1 - [Name of sub-vote]</v>
      </c>
      <c r="B84" s="293"/>
      <c r="C84" s="1627"/>
      <c r="D84" s="1627"/>
      <c r="E84" s="1630"/>
      <c r="F84" s="1629"/>
      <c r="G84" s="1627"/>
      <c r="H84" s="1628"/>
      <c r="I84" s="1630"/>
      <c r="J84" s="2472">
        <f t="shared" ref="J84:J93" si="46">Q84+V84</f>
        <v>0</v>
      </c>
      <c r="K84" s="942">
        <f t="shared" ref="K84:K93" si="47">U84+W84</f>
        <v>0</v>
      </c>
      <c r="L84" s="2473">
        <f t="shared" ref="L84:L93" si="48">X84</f>
        <v>0</v>
      </c>
      <c r="M84" s="320"/>
      <c r="N84" s="1629"/>
      <c r="O84" s="1627"/>
      <c r="P84" s="1628"/>
      <c r="Q84" s="978">
        <f t="shared" ref="Q84:Q93" si="49">SUM(N84:P84)</f>
        <v>0</v>
      </c>
      <c r="R84" s="1629"/>
      <c r="S84" s="1627"/>
      <c r="T84" s="1630"/>
      <c r="U84" s="2465">
        <f t="shared" si="43"/>
        <v>0</v>
      </c>
      <c r="V84" s="1630"/>
      <c r="W84" s="1627"/>
      <c r="X84" s="1632"/>
    </row>
    <row r="85" spans="1:24" ht="11.25" hidden="1" customHeight="1" x14ac:dyDescent="0.25">
      <c r="A85" s="1169">
        <f>'Org structure'!E81</f>
        <v>0</v>
      </c>
      <c r="B85" s="293"/>
      <c r="C85" s="1627"/>
      <c r="D85" s="1627"/>
      <c r="E85" s="1630"/>
      <c r="F85" s="1629"/>
      <c r="G85" s="1627"/>
      <c r="H85" s="1628"/>
      <c r="I85" s="1630"/>
      <c r="J85" s="2472">
        <f t="shared" si="46"/>
        <v>0</v>
      </c>
      <c r="K85" s="942">
        <f t="shared" si="47"/>
        <v>0</v>
      </c>
      <c r="L85" s="2473">
        <f t="shared" si="48"/>
        <v>0</v>
      </c>
      <c r="M85" s="320"/>
      <c r="N85" s="1629"/>
      <c r="O85" s="1627"/>
      <c r="P85" s="1628"/>
      <c r="Q85" s="978">
        <f t="shared" si="49"/>
        <v>0</v>
      </c>
      <c r="R85" s="1629"/>
      <c r="S85" s="1627"/>
      <c r="T85" s="1630"/>
      <c r="U85" s="2465">
        <f t="shared" si="43"/>
        <v>0</v>
      </c>
      <c r="V85" s="1630"/>
      <c r="W85" s="1627"/>
      <c r="X85" s="1632"/>
    </row>
    <row r="86" spans="1:24" ht="11.25" hidden="1" customHeight="1" x14ac:dyDescent="0.25">
      <c r="A86" s="1169">
        <f>'Org structure'!E82</f>
        <v>0</v>
      </c>
      <c r="B86" s="293"/>
      <c r="C86" s="1627"/>
      <c r="D86" s="1627"/>
      <c r="E86" s="1630"/>
      <c r="F86" s="1629"/>
      <c r="G86" s="1627"/>
      <c r="H86" s="1628"/>
      <c r="I86" s="1630"/>
      <c r="J86" s="2472">
        <f t="shared" si="46"/>
        <v>0</v>
      </c>
      <c r="K86" s="942">
        <f t="shared" si="47"/>
        <v>0</v>
      </c>
      <c r="L86" s="2473">
        <f t="shared" si="48"/>
        <v>0</v>
      </c>
      <c r="M86" s="320"/>
      <c r="N86" s="1629"/>
      <c r="O86" s="1627"/>
      <c r="P86" s="1628"/>
      <c r="Q86" s="978">
        <f t="shared" si="49"/>
        <v>0</v>
      </c>
      <c r="R86" s="1629"/>
      <c r="S86" s="1627"/>
      <c r="T86" s="1630"/>
      <c r="U86" s="2465">
        <f t="shared" si="43"/>
        <v>0</v>
      </c>
      <c r="V86" s="1630"/>
      <c r="W86" s="1627"/>
      <c r="X86" s="1632"/>
    </row>
    <row r="87" spans="1:24" ht="11.25" hidden="1" customHeight="1" x14ac:dyDescent="0.25">
      <c r="A87" s="1169">
        <f>'Org structure'!E83</f>
        <v>0</v>
      </c>
      <c r="B87" s="293"/>
      <c r="C87" s="1627"/>
      <c r="D87" s="1627"/>
      <c r="E87" s="1630"/>
      <c r="F87" s="1629"/>
      <c r="G87" s="1627"/>
      <c r="H87" s="1628"/>
      <c r="I87" s="1630"/>
      <c r="J87" s="2472">
        <f t="shared" si="46"/>
        <v>0</v>
      </c>
      <c r="K87" s="942">
        <f t="shared" si="47"/>
        <v>0</v>
      </c>
      <c r="L87" s="2473">
        <f t="shared" si="48"/>
        <v>0</v>
      </c>
      <c r="M87" s="320"/>
      <c r="N87" s="1629"/>
      <c r="O87" s="1627"/>
      <c r="P87" s="1628"/>
      <c r="Q87" s="978">
        <f t="shared" si="49"/>
        <v>0</v>
      </c>
      <c r="R87" s="1629"/>
      <c r="S87" s="1627"/>
      <c r="T87" s="1630"/>
      <c r="U87" s="2465">
        <f t="shared" si="43"/>
        <v>0</v>
      </c>
      <c r="V87" s="1630"/>
      <c r="W87" s="1627"/>
      <c r="X87" s="1632"/>
    </row>
    <row r="88" spans="1:24" ht="11.25" hidden="1" customHeight="1" x14ac:dyDescent="0.25">
      <c r="A88" s="1169">
        <f>'Org structure'!E84</f>
        <v>0</v>
      </c>
      <c r="B88" s="293"/>
      <c r="C88" s="1627"/>
      <c r="D88" s="1627"/>
      <c r="E88" s="1630"/>
      <c r="F88" s="1629"/>
      <c r="G88" s="1627"/>
      <c r="H88" s="1628"/>
      <c r="I88" s="1630"/>
      <c r="J88" s="2472">
        <f t="shared" si="46"/>
        <v>0</v>
      </c>
      <c r="K88" s="942">
        <f t="shared" si="47"/>
        <v>0</v>
      </c>
      <c r="L88" s="2473">
        <f t="shared" si="48"/>
        <v>0</v>
      </c>
      <c r="M88" s="320"/>
      <c r="N88" s="1629"/>
      <c r="O88" s="1627"/>
      <c r="P88" s="1628"/>
      <c r="Q88" s="978">
        <f t="shared" si="49"/>
        <v>0</v>
      </c>
      <c r="R88" s="1629"/>
      <c r="S88" s="1627"/>
      <c r="T88" s="1630"/>
      <c r="U88" s="2465">
        <f t="shared" si="43"/>
        <v>0</v>
      </c>
      <c r="V88" s="1630"/>
      <c r="W88" s="1627"/>
      <c r="X88" s="1632"/>
    </row>
    <row r="89" spans="1:24" ht="11.25" hidden="1" customHeight="1" x14ac:dyDescent="0.25">
      <c r="A89" s="1169">
        <f>'Org structure'!E85</f>
        <v>0</v>
      </c>
      <c r="B89" s="293"/>
      <c r="C89" s="1627"/>
      <c r="D89" s="1627"/>
      <c r="E89" s="1630"/>
      <c r="F89" s="1629"/>
      <c r="G89" s="1627"/>
      <c r="H89" s="1628"/>
      <c r="I89" s="1630"/>
      <c r="J89" s="2472">
        <f t="shared" si="46"/>
        <v>0</v>
      </c>
      <c r="K89" s="942">
        <f t="shared" si="47"/>
        <v>0</v>
      </c>
      <c r="L89" s="2473">
        <f t="shared" si="48"/>
        <v>0</v>
      </c>
      <c r="M89" s="320"/>
      <c r="N89" s="1629"/>
      <c r="O89" s="1627"/>
      <c r="P89" s="1628"/>
      <c r="Q89" s="978">
        <f t="shared" si="49"/>
        <v>0</v>
      </c>
      <c r="R89" s="1629"/>
      <c r="S89" s="1627"/>
      <c r="T89" s="1630"/>
      <c r="U89" s="2465">
        <f t="shared" si="43"/>
        <v>0</v>
      </c>
      <c r="V89" s="1630"/>
      <c r="W89" s="1627"/>
      <c r="X89" s="1632"/>
    </row>
    <row r="90" spans="1:24" ht="11.25" hidden="1" customHeight="1" x14ac:dyDescent="0.25">
      <c r="A90" s="1169">
        <f>'Org structure'!E86</f>
        <v>0</v>
      </c>
      <c r="B90" s="293"/>
      <c r="C90" s="1627"/>
      <c r="D90" s="1627"/>
      <c r="E90" s="1630"/>
      <c r="F90" s="1629"/>
      <c r="G90" s="1627"/>
      <c r="H90" s="1628"/>
      <c r="I90" s="1630"/>
      <c r="J90" s="2472">
        <f t="shared" si="46"/>
        <v>0</v>
      </c>
      <c r="K90" s="942">
        <f t="shared" si="47"/>
        <v>0</v>
      </c>
      <c r="L90" s="2473">
        <f t="shared" si="48"/>
        <v>0</v>
      </c>
      <c r="M90" s="320"/>
      <c r="N90" s="1629"/>
      <c r="O90" s="1627"/>
      <c r="P90" s="1628"/>
      <c r="Q90" s="978">
        <f t="shared" si="49"/>
        <v>0</v>
      </c>
      <c r="R90" s="1629"/>
      <c r="S90" s="1627"/>
      <c r="T90" s="1630"/>
      <c r="U90" s="2465">
        <f t="shared" si="43"/>
        <v>0</v>
      </c>
      <c r="V90" s="1630"/>
      <c r="W90" s="1627"/>
      <c r="X90" s="1632"/>
    </row>
    <row r="91" spans="1:24" ht="11.25" hidden="1" customHeight="1" x14ac:dyDescent="0.25">
      <c r="A91" s="1169">
        <f>'Org structure'!E87</f>
        <v>0</v>
      </c>
      <c r="B91" s="293"/>
      <c r="C91" s="1627"/>
      <c r="D91" s="1627"/>
      <c r="E91" s="1630"/>
      <c r="F91" s="1629"/>
      <c r="G91" s="1627"/>
      <c r="H91" s="1628"/>
      <c r="I91" s="1630"/>
      <c r="J91" s="2472">
        <f t="shared" si="46"/>
        <v>0</v>
      </c>
      <c r="K91" s="942">
        <f t="shared" si="47"/>
        <v>0</v>
      </c>
      <c r="L91" s="2473">
        <f t="shared" si="48"/>
        <v>0</v>
      </c>
      <c r="M91" s="320"/>
      <c r="N91" s="1629"/>
      <c r="O91" s="1627"/>
      <c r="P91" s="1628"/>
      <c r="Q91" s="978">
        <f t="shared" si="49"/>
        <v>0</v>
      </c>
      <c r="R91" s="1629"/>
      <c r="S91" s="1627"/>
      <c r="T91" s="1630"/>
      <c r="U91" s="2465">
        <f t="shared" si="43"/>
        <v>0</v>
      </c>
      <c r="V91" s="1630"/>
      <c r="W91" s="1627"/>
      <c r="X91" s="1632"/>
    </row>
    <row r="92" spans="1:24" ht="11.25" hidden="1" customHeight="1" x14ac:dyDescent="0.25">
      <c r="A92" s="1169">
        <f>'Org structure'!E88</f>
        <v>0</v>
      </c>
      <c r="B92" s="293"/>
      <c r="C92" s="1627"/>
      <c r="D92" s="1627"/>
      <c r="E92" s="1630"/>
      <c r="F92" s="1629"/>
      <c r="G92" s="1627"/>
      <c r="H92" s="1628"/>
      <c r="I92" s="1630"/>
      <c r="J92" s="2472">
        <f t="shared" si="46"/>
        <v>0</v>
      </c>
      <c r="K92" s="942">
        <f t="shared" si="47"/>
        <v>0</v>
      </c>
      <c r="L92" s="2473">
        <f t="shared" si="48"/>
        <v>0</v>
      </c>
      <c r="M92" s="320"/>
      <c r="N92" s="1629"/>
      <c r="O92" s="1627"/>
      <c r="P92" s="1628"/>
      <c r="Q92" s="978">
        <f t="shared" si="49"/>
        <v>0</v>
      </c>
      <c r="R92" s="1629"/>
      <c r="S92" s="1627"/>
      <c r="T92" s="1630"/>
      <c r="U92" s="2465">
        <f t="shared" si="43"/>
        <v>0</v>
      </c>
      <c r="V92" s="1630"/>
      <c r="W92" s="1627"/>
      <c r="X92" s="1632"/>
    </row>
    <row r="93" spans="1:24" ht="11.25" hidden="1" customHeight="1" x14ac:dyDescent="0.25">
      <c r="A93" s="1169">
        <f>'Org structure'!E89</f>
        <v>0</v>
      </c>
      <c r="B93" s="293"/>
      <c r="C93" s="1627"/>
      <c r="D93" s="1627"/>
      <c r="E93" s="1630"/>
      <c r="F93" s="1629"/>
      <c r="G93" s="1627"/>
      <c r="H93" s="1628"/>
      <c r="I93" s="1630"/>
      <c r="J93" s="2472">
        <f t="shared" si="46"/>
        <v>0</v>
      </c>
      <c r="K93" s="942">
        <f t="shared" si="47"/>
        <v>0</v>
      </c>
      <c r="L93" s="2473">
        <f t="shared" si="48"/>
        <v>0</v>
      </c>
      <c r="M93" s="320"/>
      <c r="N93" s="1629"/>
      <c r="O93" s="1627"/>
      <c r="P93" s="1628"/>
      <c r="Q93" s="978">
        <f t="shared" si="49"/>
        <v>0</v>
      </c>
      <c r="R93" s="1629"/>
      <c r="S93" s="1627"/>
      <c r="T93" s="1630"/>
      <c r="U93" s="2465">
        <f t="shared" si="43"/>
        <v>0</v>
      </c>
      <c r="V93" s="1630"/>
      <c r="W93" s="1627"/>
      <c r="X93" s="1632"/>
    </row>
    <row r="94" spans="1:24" ht="15" hidden="1" customHeight="1" x14ac:dyDescent="0.25">
      <c r="A94" s="1168" t="str">
        <f>'Org structure'!A10</f>
        <v>Vote 9 - [NAME OF VOTE 9]</v>
      </c>
      <c r="B94" s="293"/>
      <c r="C94" s="976">
        <f>SUM(C95:C104)</f>
        <v>0</v>
      </c>
      <c r="D94" s="976">
        <f t="shared" ref="D94:L94" si="50">SUM(D95:D104)</f>
        <v>0</v>
      </c>
      <c r="E94" s="977">
        <f t="shared" si="50"/>
        <v>0</v>
      </c>
      <c r="F94" s="978">
        <f t="shared" si="50"/>
        <v>0</v>
      </c>
      <c r="G94" s="976">
        <f t="shared" si="50"/>
        <v>0</v>
      </c>
      <c r="H94" s="977">
        <f t="shared" si="50"/>
        <v>0</v>
      </c>
      <c r="I94" s="979">
        <f t="shared" si="50"/>
        <v>0</v>
      </c>
      <c r="J94" s="2472">
        <f t="shared" si="50"/>
        <v>0</v>
      </c>
      <c r="K94" s="942">
        <f t="shared" si="50"/>
        <v>0</v>
      </c>
      <c r="L94" s="2473">
        <f t="shared" si="50"/>
        <v>0</v>
      </c>
      <c r="M94" s="320"/>
      <c r="N94" s="978">
        <f t="shared" ref="N94:X94" si="51">SUM(N95:N104)</f>
        <v>0</v>
      </c>
      <c r="O94" s="976">
        <f t="shared" si="51"/>
        <v>0</v>
      </c>
      <c r="P94" s="977">
        <f t="shared" si="51"/>
        <v>0</v>
      </c>
      <c r="Q94" s="978">
        <f t="shared" si="51"/>
        <v>0</v>
      </c>
      <c r="R94" s="978">
        <f t="shared" si="51"/>
        <v>0</v>
      </c>
      <c r="S94" s="976">
        <f t="shared" si="51"/>
        <v>0</v>
      </c>
      <c r="T94" s="2469">
        <f t="shared" si="51"/>
        <v>0</v>
      </c>
      <c r="U94" s="2465">
        <f t="shared" si="51"/>
        <v>0</v>
      </c>
      <c r="V94" s="2470">
        <f t="shared" si="51"/>
        <v>0</v>
      </c>
      <c r="W94" s="976">
        <f t="shared" si="51"/>
        <v>0</v>
      </c>
      <c r="X94" s="2471">
        <f t="shared" si="51"/>
        <v>0</v>
      </c>
    </row>
    <row r="95" spans="1:24" ht="11.25" hidden="1" customHeight="1" x14ac:dyDescent="0.25">
      <c r="A95" s="1169" t="str">
        <f>'Org structure'!E91</f>
        <v>9.1 - [Name of sub-vote]</v>
      </c>
      <c r="B95" s="293"/>
      <c r="C95" s="1627"/>
      <c r="D95" s="1627"/>
      <c r="E95" s="1630"/>
      <c r="F95" s="1629"/>
      <c r="G95" s="1627"/>
      <c r="H95" s="1628"/>
      <c r="I95" s="1630"/>
      <c r="J95" s="2472">
        <f t="shared" ref="J95:J104" si="52">Q95+V95</f>
        <v>0</v>
      </c>
      <c r="K95" s="942">
        <f t="shared" ref="K95:K104" si="53">U95+W95</f>
        <v>0</v>
      </c>
      <c r="L95" s="2473">
        <f t="shared" ref="L95:L104" si="54">X95</f>
        <v>0</v>
      </c>
      <c r="M95" s="320"/>
      <c r="N95" s="1629"/>
      <c r="O95" s="1627"/>
      <c r="P95" s="1628"/>
      <c r="Q95" s="978">
        <f t="shared" ref="Q95:Q104" si="55">SUM(N95:P95)</f>
        <v>0</v>
      </c>
      <c r="R95" s="1629"/>
      <c r="S95" s="1627"/>
      <c r="T95" s="1630"/>
      <c r="U95" s="2465">
        <f t="shared" si="43"/>
        <v>0</v>
      </c>
      <c r="V95" s="1630"/>
      <c r="W95" s="1627"/>
      <c r="X95" s="1632"/>
    </row>
    <row r="96" spans="1:24" ht="11.25" hidden="1" customHeight="1" x14ac:dyDescent="0.25">
      <c r="A96" s="1169">
        <f>'Org structure'!E92</f>
        <v>0</v>
      </c>
      <c r="B96" s="293"/>
      <c r="C96" s="1627"/>
      <c r="D96" s="1627"/>
      <c r="E96" s="1630"/>
      <c r="F96" s="1629"/>
      <c r="G96" s="1627"/>
      <c r="H96" s="1628"/>
      <c r="I96" s="1630"/>
      <c r="J96" s="2472">
        <f t="shared" si="52"/>
        <v>0</v>
      </c>
      <c r="K96" s="942">
        <f t="shared" si="53"/>
        <v>0</v>
      </c>
      <c r="L96" s="2473">
        <f t="shared" si="54"/>
        <v>0</v>
      </c>
      <c r="M96" s="320"/>
      <c r="N96" s="1629"/>
      <c r="O96" s="1627"/>
      <c r="P96" s="1628"/>
      <c r="Q96" s="978">
        <f t="shared" si="55"/>
        <v>0</v>
      </c>
      <c r="R96" s="1629"/>
      <c r="S96" s="1627"/>
      <c r="T96" s="1630"/>
      <c r="U96" s="2465">
        <f t="shared" si="43"/>
        <v>0</v>
      </c>
      <c r="V96" s="1630"/>
      <c r="W96" s="1627"/>
      <c r="X96" s="1632"/>
    </row>
    <row r="97" spans="1:24" ht="11.25" hidden="1" customHeight="1" x14ac:dyDescent="0.25">
      <c r="A97" s="1169">
        <f>'Org structure'!E93</f>
        <v>0</v>
      </c>
      <c r="B97" s="293"/>
      <c r="C97" s="1627"/>
      <c r="D97" s="1627"/>
      <c r="E97" s="1630"/>
      <c r="F97" s="1629"/>
      <c r="G97" s="1627"/>
      <c r="H97" s="1628"/>
      <c r="I97" s="1630"/>
      <c r="J97" s="2472">
        <f t="shared" si="52"/>
        <v>0</v>
      </c>
      <c r="K97" s="942">
        <f t="shared" si="53"/>
        <v>0</v>
      </c>
      <c r="L97" s="2473">
        <f t="shared" si="54"/>
        <v>0</v>
      </c>
      <c r="M97" s="320"/>
      <c r="N97" s="1629"/>
      <c r="O97" s="1627"/>
      <c r="P97" s="1628"/>
      <c r="Q97" s="978">
        <f t="shared" si="55"/>
        <v>0</v>
      </c>
      <c r="R97" s="1629"/>
      <c r="S97" s="1627"/>
      <c r="T97" s="1630"/>
      <c r="U97" s="2465">
        <f t="shared" si="43"/>
        <v>0</v>
      </c>
      <c r="V97" s="1630"/>
      <c r="W97" s="1627"/>
      <c r="X97" s="1632"/>
    </row>
    <row r="98" spans="1:24" ht="11.25" hidden="1" customHeight="1" x14ac:dyDescent="0.25">
      <c r="A98" s="1169">
        <f>'Org structure'!E94</f>
        <v>0</v>
      </c>
      <c r="B98" s="293"/>
      <c r="C98" s="1627"/>
      <c r="D98" s="1627"/>
      <c r="E98" s="1630"/>
      <c r="F98" s="1629"/>
      <c r="G98" s="1627"/>
      <c r="H98" s="1628"/>
      <c r="I98" s="1630"/>
      <c r="J98" s="2472">
        <f t="shared" si="52"/>
        <v>0</v>
      </c>
      <c r="K98" s="942">
        <f t="shared" si="53"/>
        <v>0</v>
      </c>
      <c r="L98" s="2473">
        <f t="shared" si="54"/>
        <v>0</v>
      </c>
      <c r="M98" s="320"/>
      <c r="N98" s="1629"/>
      <c r="O98" s="1627"/>
      <c r="P98" s="1628"/>
      <c r="Q98" s="978">
        <f t="shared" si="55"/>
        <v>0</v>
      </c>
      <c r="R98" s="1629"/>
      <c r="S98" s="1627"/>
      <c r="T98" s="1630"/>
      <c r="U98" s="2465">
        <f t="shared" si="43"/>
        <v>0</v>
      </c>
      <c r="V98" s="1630"/>
      <c r="W98" s="1627"/>
      <c r="X98" s="1632"/>
    </row>
    <row r="99" spans="1:24" ht="11.25" hidden="1" customHeight="1" x14ac:dyDescent="0.25">
      <c r="A99" s="1169">
        <f>'Org structure'!E95</f>
        <v>0</v>
      </c>
      <c r="B99" s="293"/>
      <c r="C99" s="1627"/>
      <c r="D99" s="1627"/>
      <c r="E99" s="1630"/>
      <c r="F99" s="1629"/>
      <c r="G99" s="1627"/>
      <c r="H99" s="1628"/>
      <c r="I99" s="1630"/>
      <c r="J99" s="2472">
        <f t="shared" si="52"/>
        <v>0</v>
      </c>
      <c r="K99" s="942">
        <f t="shared" si="53"/>
        <v>0</v>
      </c>
      <c r="L99" s="2473">
        <f t="shared" si="54"/>
        <v>0</v>
      </c>
      <c r="M99" s="320"/>
      <c r="N99" s="1629"/>
      <c r="O99" s="1627"/>
      <c r="P99" s="1628"/>
      <c r="Q99" s="978">
        <f t="shared" si="55"/>
        <v>0</v>
      </c>
      <c r="R99" s="1629"/>
      <c r="S99" s="1627"/>
      <c r="T99" s="1630"/>
      <c r="U99" s="2465">
        <f t="shared" si="43"/>
        <v>0</v>
      </c>
      <c r="V99" s="1630"/>
      <c r="W99" s="1627"/>
      <c r="X99" s="1632"/>
    </row>
    <row r="100" spans="1:24" ht="11.25" hidden="1" customHeight="1" x14ac:dyDescent="0.25">
      <c r="A100" s="1169">
        <f>'Org structure'!E96</f>
        <v>0</v>
      </c>
      <c r="B100" s="293"/>
      <c r="C100" s="1627"/>
      <c r="D100" s="1627"/>
      <c r="E100" s="1630"/>
      <c r="F100" s="1629"/>
      <c r="G100" s="1627"/>
      <c r="H100" s="1628"/>
      <c r="I100" s="1630"/>
      <c r="J100" s="2472">
        <f t="shared" si="52"/>
        <v>0</v>
      </c>
      <c r="K100" s="942">
        <f t="shared" si="53"/>
        <v>0</v>
      </c>
      <c r="L100" s="2473">
        <f t="shared" si="54"/>
        <v>0</v>
      </c>
      <c r="M100" s="320"/>
      <c r="N100" s="1629"/>
      <c r="O100" s="1627"/>
      <c r="P100" s="1628"/>
      <c r="Q100" s="978">
        <f t="shared" si="55"/>
        <v>0</v>
      </c>
      <c r="R100" s="1629"/>
      <c r="S100" s="1627"/>
      <c r="T100" s="1630"/>
      <c r="U100" s="2465">
        <f t="shared" si="43"/>
        <v>0</v>
      </c>
      <c r="V100" s="1630"/>
      <c r="W100" s="1627"/>
      <c r="X100" s="1632"/>
    </row>
    <row r="101" spans="1:24" ht="11.25" hidden="1" customHeight="1" x14ac:dyDescent="0.25">
      <c r="A101" s="1169">
        <f>'Org structure'!E97</f>
        <v>0</v>
      </c>
      <c r="B101" s="293"/>
      <c r="C101" s="1627"/>
      <c r="D101" s="1627"/>
      <c r="E101" s="1630"/>
      <c r="F101" s="1629"/>
      <c r="G101" s="1627"/>
      <c r="H101" s="1628"/>
      <c r="I101" s="1630"/>
      <c r="J101" s="2472">
        <f t="shared" si="52"/>
        <v>0</v>
      </c>
      <c r="K101" s="942">
        <f t="shared" si="53"/>
        <v>0</v>
      </c>
      <c r="L101" s="2473">
        <f t="shared" si="54"/>
        <v>0</v>
      </c>
      <c r="M101" s="320"/>
      <c r="N101" s="1629"/>
      <c r="O101" s="1627"/>
      <c r="P101" s="1628"/>
      <c r="Q101" s="978">
        <f t="shared" si="55"/>
        <v>0</v>
      </c>
      <c r="R101" s="1629"/>
      <c r="S101" s="1627"/>
      <c r="T101" s="1630"/>
      <c r="U101" s="2465">
        <f t="shared" si="43"/>
        <v>0</v>
      </c>
      <c r="V101" s="1630"/>
      <c r="W101" s="1627"/>
      <c r="X101" s="1632"/>
    </row>
    <row r="102" spans="1:24" ht="11.25" hidden="1" customHeight="1" x14ac:dyDescent="0.25">
      <c r="A102" s="1169">
        <f>'Org structure'!E98</f>
        <v>0</v>
      </c>
      <c r="B102" s="293"/>
      <c r="C102" s="1627"/>
      <c r="D102" s="1627"/>
      <c r="E102" s="1630"/>
      <c r="F102" s="1629"/>
      <c r="G102" s="1627"/>
      <c r="H102" s="1628"/>
      <c r="I102" s="1630"/>
      <c r="J102" s="2472">
        <f t="shared" si="52"/>
        <v>0</v>
      </c>
      <c r="K102" s="942">
        <f t="shared" si="53"/>
        <v>0</v>
      </c>
      <c r="L102" s="2473">
        <f t="shared" si="54"/>
        <v>0</v>
      </c>
      <c r="M102" s="320"/>
      <c r="N102" s="1629"/>
      <c r="O102" s="1627"/>
      <c r="P102" s="1628"/>
      <c r="Q102" s="978">
        <f t="shared" si="55"/>
        <v>0</v>
      </c>
      <c r="R102" s="1629"/>
      <c r="S102" s="1627"/>
      <c r="T102" s="1630"/>
      <c r="U102" s="2465">
        <f t="shared" si="43"/>
        <v>0</v>
      </c>
      <c r="V102" s="1630"/>
      <c r="W102" s="1627"/>
      <c r="X102" s="1632"/>
    </row>
    <row r="103" spans="1:24" ht="11.25" hidden="1" customHeight="1" x14ac:dyDescent="0.25">
      <c r="A103" s="1169">
        <f>'Org structure'!E99</f>
        <v>0</v>
      </c>
      <c r="B103" s="293"/>
      <c r="C103" s="1627"/>
      <c r="D103" s="1627"/>
      <c r="E103" s="1630"/>
      <c r="F103" s="1629"/>
      <c r="G103" s="1627"/>
      <c r="H103" s="1628"/>
      <c r="I103" s="1630"/>
      <c r="J103" s="2472">
        <f t="shared" si="52"/>
        <v>0</v>
      </c>
      <c r="K103" s="942">
        <f t="shared" si="53"/>
        <v>0</v>
      </c>
      <c r="L103" s="2473">
        <f t="shared" si="54"/>
        <v>0</v>
      </c>
      <c r="M103" s="320"/>
      <c r="N103" s="1629"/>
      <c r="O103" s="1627"/>
      <c r="P103" s="1628"/>
      <c r="Q103" s="978">
        <f t="shared" si="55"/>
        <v>0</v>
      </c>
      <c r="R103" s="1629"/>
      <c r="S103" s="1627"/>
      <c r="T103" s="1630"/>
      <c r="U103" s="2465">
        <f t="shared" si="43"/>
        <v>0</v>
      </c>
      <c r="V103" s="1630"/>
      <c r="W103" s="1627"/>
      <c r="X103" s="1632"/>
    </row>
    <row r="104" spans="1:24" ht="11.25" hidden="1" customHeight="1" x14ac:dyDescent="0.25">
      <c r="A104" s="1169">
        <f>'Org structure'!E100</f>
        <v>0</v>
      </c>
      <c r="B104" s="293"/>
      <c r="C104" s="1627"/>
      <c r="D104" s="1627"/>
      <c r="E104" s="1630"/>
      <c r="F104" s="1629"/>
      <c r="G104" s="1627"/>
      <c r="H104" s="1628"/>
      <c r="I104" s="1630"/>
      <c r="J104" s="2472">
        <f t="shared" si="52"/>
        <v>0</v>
      </c>
      <c r="K104" s="942">
        <f t="shared" si="53"/>
        <v>0</v>
      </c>
      <c r="L104" s="2473">
        <f t="shared" si="54"/>
        <v>0</v>
      </c>
      <c r="M104" s="320"/>
      <c r="N104" s="1629"/>
      <c r="O104" s="1627"/>
      <c r="P104" s="1628"/>
      <c r="Q104" s="978">
        <f t="shared" si="55"/>
        <v>0</v>
      </c>
      <c r="R104" s="1629"/>
      <c r="S104" s="1627"/>
      <c r="T104" s="1630"/>
      <c r="U104" s="2465">
        <f t="shared" si="43"/>
        <v>0</v>
      </c>
      <c r="V104" s="1630"/>
      <c r="W104" s="1627"/>
      <c r="X104" s="1632"/>
    </row>
    <row r="105" spans="1:24" ht="15" hidden="1" customHeight="1" x14ac:dyDescent="0.25">
      <c r="A105" s="1168" t="str">
        <f>'Org structure'!A11</f>
        <v>Vote 10 - [NAME OF VOTE 10]</v>
      </c>
      <c r="B105" s="293"/>
      <c r="C105" s="976">
        <f>SUM(C106:C115)</f>
        <v>0</v>
      </c>
      <c r="D105" s="976">
        <f t="shared" ref="D105:L105" si="56">SUM(D106:D115)</f>
        <v>0</v>
      </c>
      <c r="E105" s="977">
        <f t="shared" si="56"/>
        <v>0</v>
      </c>
      <c r="F105" s="978">
        <f t="shared" si="56"/>
        <v>0</v>
      </c>
      <c r="G105" s="976">
        <f t="shared" si="56"/>
        <v>0</v>
      </c>
      <c r="H105" s="977">
        <f t="shared" si="56"/>
        <v>0</v>
      </c>
      <c r="I105" s="979">
        <f t="shared" si="56"/>
        <v>0</v>
      </c>
      <c r="J105" s="2472">
        <f t="shared" si="56"/>
        <v>0</v>
      </c>
      <c r="K105" s="942">
        <f t="shared" si="56"/>
        <v>0</v>
      </c>
      <c r="L105" s="2473">
        <f t="shared" si="56"/>
        <v>0</v>
      </c>
      <c r="M105" s="320"/>
      <c r="N105" s="978">
        <f t="shared" ref="N105:X105" si="57">SUM(N106:N115)</f>
        <v>0</v>
      </c>
      <c r="O105" s="976">
        <f t="shared" si="57"/>
        <v>0</v>
      </c>
      <c r="P105" s="977">
        <f t="shared" si="57"/>
        <v>0</v>
      </c>
      <c r="Q105" s="978">
        <f t="shared" si="57"/>
        <v>0</v>
      </c>
      <c r="R105" s="978">
        <f t="shared" si="57"/>
        <v>0</v>
      </c>
      <c r="S105" s="976">
        <f t="shared" si="57"/>
        <v>0</v>
      </c>
      <c r="T105" s="2469">
        <f t="shared" si="57"/>
        <v>0</v>
      </c>
      <c r="U105" s="2465">
        <f t="shared" si="57"/>
        <v>0</v>
      </c>
      <c r="V105" s="2470">
        <f t="shared" si="57"/>
        <v>0</v>
      </c>
      <c r="W105" s="976">
        <f t="shared" si="57"/>
        <v>0</v>
      </c>
      <c r="X105" s="2471">
        <f t="shared" si="57"/>
        <v>0</v>
      </c>
    </row>
    <row r="106" spans="1:24" ht="11.25" hidden="1" customHeight="1" x14ac:dyDescent="0.25">
      <c r="A106" s="1169" t="str">
        <f>'Org structure'!E102</f>
        <v>10.1 - [Name of sub-vote]</v>
      </c>
      <c r="B106" s="293"/>
      <c r="C106" s="1627"/>
      <c r="D106" s="1627"/>
      <c r="E106" s="1630"/>
      <c r="F106" s="1629"/>
      <c r="G106" s="1627"/>
      <c r="H106" s="1628"/>
      <c r="I106" s="1630"/>
      <c r="J106" s="2472">
        <f t="shared" ref="J106:J115" si="58">Q106+V106</f>
        <v>0</v>
      </c>
      <c r="K106" s="942">
        <f t="shared" ref="K106:K115" si="59">U106+W106</f>
        <v>0</v>
      </c>
      <c r="L106" s="2473">
        <f t="shared" ref="L106:L115" si="60">X106</f>
        <v>0</v>
      </c>
      <c r="M106" s="320"/>
      <c r="N106" s="1629"/>
      <c r="O106" s="1627"/>
      <c r="P106" s="1628"/>
      <c r="Q106" s="978">
        <f t="shared" ref="Q106:Q115" si="61">SUM(N106:P106)</f>
        <v>0</v>
      </c>
      <c r="R106" s="1629"/>
      <c r="S106" s="1627"/>
      <c r="T106" s="1630"/>
      <c r="U106" s="2465">
        <f t="shared" si="43"/>
        <v>0</v>
      </c>
      <c r="V106" s="1630"/>
      <c r="W106" s="1627"/>
      <c r="X106" s="1632"/>
    </row>
    <row r="107" spans="1:24" ht="11.25" hidden="1" customHeight="1" x14ac:dyDescent="0.25">
      <c r="A107" s="1169">
        <f>'Org structure'!E103</f>
        <v>0</v>
      </c>
      <c r="B107" s="293"/>
      <c r="C107" s="1627"/>
      <c r="D107" s="1627"/>
      <c r="E107" s="1630"/>
      <c r="F107" s="1629"/>
      <c r="G107" s="1627"/>
      <c r="H107" s="1628"/>
      <c r="I107" s="1630"/>
      <c r="J107" s="2472">
        <f t="shared" si="58"/>
        <v>0</v>
      </c>
      <c r="K107" s="942">
        <f t="shared" si="59"/>
        <v>0</v>
      </c>
      <c r="L107" s="2473">
        <f t="shared" si="60"/>
        <v>0</v>
      </c>
      <c r="M107" s="320"/>
      <c r="N107" s="1629"/>
      <c r="O107" s="1627"/>
      <c r="P107" s="1628"/>
      <c r="Q107" s="978">
        <f t="shared" si="61"/>
        <v>0</v>
      </c>
      <c r="R107" s="1629"/>
      <c r="S107" s="1627"/>
      <c r="T107" s="1630"/>
      <c r="U107" s="2465">
        <f t="shared" si="43"/>
        <v>0</v>
      </c>
      <c r="V107" s="1630"/>
      <c r="W107" s="1627"/>
      <c r="X107" s="1632"/>
    </row>
    <row r="108" spans="1:24" ht="11.25" hidden="1" customHeight="1" x14ac:dyDescent="0.25">
      <c r="A108" s="1169">
        <f>'Org structure'!E104</f>
        <v>0</v>
      </c>
      <c r="B108" s="293"/>
      <c r="C108" s="1627"/>
      <c r="D108" s="1627"/>
      <c r="E108" s="1630"/>
      <c r="F108" s="1629"/>
      <c r="G108" s="1627"/>
      <c r="H108" s="1628"/>
      <c r="I108" s="1630"/>
      <c r="J108" s="2472">
        <f t="shared" si="58"/>
        <v>0</v>
      </c>
      <c r="K108" s="942">
        <f t="shared" si="59"/>
        <v>0</v>
      </c>
      <c r="L108" s="2473">
        <f t="shared" si="60"/>
        <v>0</v>
      </c>
      <c r="M108" s="320"/>
      <c r="N108" s="1629"/>
      <c r="O108" s="1627"/>
      <c r="P108" s="1628"/>
      <c r="Q108" s="978">
        <f t="shared" si="61"/>
        <v>0</v>
      </c>
      <c r="R108" s="1629"/>
      <c r="S108" s="1627"/>
      <c r="T108" s="1630"/>
      <c r="U108" s="2465">
        <f t="shared" si="43"/>
        <v>0</v>
      </c>
      <c r="V108" s="1630"/>
      <c r="W108" s="1627"/>
      <c r="X108" s="1632"/>
    </row>
    <row r="109" spans="1:24" ht="11.25" hidden="1" customHeight="1" x14ac:dyDescent="0.25">
      <c r="A109" s="1169">
        <f>'Org structure'!E105</f>
        <v>0</v>
      </c>
      <c r="B109" s="293"/>
      <c r="C109" s="1627"/>
      <c r="D109" s="1627"/>
      <c r="E109" s="1630"/>
      <c r="F109" s="1629"/>
      <c r="G109" s="1627"/>
      <c r="H109" s="1628"/>
      <c r="I109" s="1630"/>
      <c r="J109" s="2472">
        <f t="shared" si="58"/>
        <v>0</v>
      </c>
      <c r="K109" s="942">
        <f t="shared" si="59"/>
        <v>0</v>
      </c>
      <c r="L109" s="2473">
        <f t="shared" si="60"/>
        <v>0</v>
      </c>
      <c r="M109" s="320"/>
      <c r="N109" s="1629"/>
      <c r="O109" s="1627"/>
      <c r="P109" s="1628"/>
      <c r="Q109" s="978">
        <f t="shared" si="61"/>
        <v>0</v>
      </c>
      <c r="R109" s="1629"/>
      <c r="S109" s="1627"/>
      <c r="T109" s="1630"/>
      <c r="U109" s="2465">
        <f t="shared" si="43"/>
        <v>0</v>
      </c>
      <c r="V109" s="1630"/>
      <c r="W109" s="1627"/>
      <c r="X109" s="1632"/>
    </row>
    <row r="110" spans="1:24" ht="11.25" hidden="1" customHeight="1" x14ac:dyDescent="0.25">
      <c r="A110" s="1169">
        <f>'Org structure'!E106</f>
        <v>0</v>
      </c>
      <c r="B110" s="293"/>
      <c r="C110" s="1627"/>
      <c r="D110" s="1627"/>
      <c r="E110" s="1630"/>
      <c r="F110" s="1629"/>
      <c r="G110" s="1627"/>
      <c r="H110" s="1628"/>
      <c r="I110" s="1630"/>
      <c r="J110" s="2472">
        <f t="shared" si="58"/>
        <v>0</v>
      </c>
      <c r="K110" s="942">
        <f t="shared" si="59"/>
        <v>0</v>
      </c>
      <c r="L110" s="2473">
        <f t="shared" si="60"/>
        <v>0</v>
      </c>
      <c r="M110" s="320"/>
      <c r="N110" s="1629"/>
      <c r="O110" s="1627"/>
      <c r="P110" s="1628"/>
      <c r="Q110" s="978">
        <f t="shared" si="61"/>
        <v>0</v>
      </c>
      <c r="R110" s="1629"/>
      <c r="S110" s="1627"/>
      <c r="T110" s="1630"/>
      <c r="U110" s="2465">
        <f t="shared" si="43"/>
        <v>0</v>
      </c>
      <c r="V110" s="1630"/>
      <c r="W110" s="1627"/>
      <c r="X110" s="1632"/>
    </row>
    <row r="111" spans="1:24" ht="11.25" hidden="1" customHeight="1" x14ac:dyDescent="0.25">
      <c r="A111" s="1169">
        <f>'Org structure'!E107</f>
        <v>0</v>
      </c>
      <c r="B111" s="293"/>
      <c r="C111" s="1627"/>
      <c r="D111" s="1627"/>
      <c r="E111" s="1630"/>
      <c r="F111" s="1629"/>
      <c r="G111" s="1627"/>
      <c r="H111" s="1628"/>
      <c r="I111" s="1630"/>
      <c r="J111" s="2472">
        <f t="shared" si="58"/>
        <v>0</v>
      </c>
      <c r="K111" s="942">
        <f t="shared" si="59"/>
        <v>0</v>
      </c>
      <c r="L111" s="2473">
        <f t="shared" si="60"/>
        <v>0</v>
      </c>
      <c r="M111" s="320"/>
      <c r="N111" s="1629"/>
      <c r="O111" s="1627"/>
      <c r="P111" s="1628"/>
      <c r="Q111" s="978">
        <f t="shared" si="61"/>
        <v>0</v>
      </c>
      <c r="R111" s="1629"/>
      <c r="S111" s="1627"/>
      <c r="T111" s="1630"/>
      <c r="U111" s="2465">
        <f t="shared" si="43"/>
        <v>0</v>
      </c>
      <c r="V111" s="1630"/>
      <c r="W111" s="1627"/>
      <c r="X111" s="1632"/>
    </row>
    <row r="112" spans="1:24" ht="11.25" hidden="1" customHeight="1" x14ac:dyDescent="0.25">
      <c r="A112" s="1169">
        <f>'Org structure'!E108</f>
        <v>0</v>
      </c>
      <c r="B112" s="293"/>
      <c r="C112" s="1627"/>
      <c r="D112" s="1627"/>
      <c r="E112" s="1630"/>
      <c r="F112" s="1629"/>
      <c r="G112" s="1627"/>
      <c r="H112" s="1628"/>
      <c r="I112" s="1630"/>
      <c r="J112" s="2472">
        <f t="shared" si="58"/>
        <v>0</v>
      </c>
      <c r="K112" s="942">
        <f t="shared" si="59"/>
        <v>0</v>
      </c>
      <c r="L112" s="2473">
        <f t="shared" si="60"/>
        <v>0</v>
      </c>
      <c r="M112" s="320"/>
      <c r="N112" s="1629"/>
      <c r="O112" s="1627"/>
      <c r="P112" s="1628"/>
      <c r="Q112" s="978">
        <f t="shared" si="61"/>
        <v>0</v>
      </c>
      <c r="R112" s="1629"/>
      <c r="S112" s="1627"/>
      <c r="T112" s="1630"/>
      <c r="U112" s="2465">
        <f t="shared" si="43"/>
        <v>0</v>
      </c>
      <c r="V112" s="1630"/>
      <c r="W112" s="1627"/>
      <c r="X112" s="1632"/>
    </row>
    <row r="113" spans="1:24" ht="11.25" hidden="1" customHeight="1" x14ac:dyDescent="0.25">
      <c r="A113" s="1169">
        <f>'Org structure'!E109</f>
        <v>0</v>
      </c>
      <c r="B113" s="293"/>
      <c r="C113" s="1627"/>
      <c r="D113" s="1627"/>
      <c r="E113" s="1630"/>
      <c r="F113" s="1629"/>
      <c r="G113" s="1627"/>
      <c r="H113" s="1628"/>
      <c r="I113" s="1630"/>
      <c r="J113" s="2472">
        <f t="shared" si="58"/>
        <v>0</v>
      </c>
      <c r="K113" s="942">
        <f t="shared" si="59"/>
        <v>0</v>
      </c>
      <c r="L113" s="2473">
        <f t="shared" si="60"/>
        <v>0</v>
      </c>
      <c r="M113" s="320"/>
      <c r="N113" s="1629"/>
      <c r="O113" s="1627"/>
      <c r="P113" s="1628"/>
      <c r="Q113" s="978">
        <f t="shared" si="61"/>
        <v>0</v>
      </c>
      <c r="R113" s="1629"/>
      <c r="S113" s="1627"/>
      <c r="T113" s="1630"/>
      <c r="U113" s="2465">
        <f t="shared" si="43"/>
        <v>0</v>
      </c>
      <c r="V113" s="1630"/>
      <c r="W113" s="1627"/>
      <c r="X113" s="1632"/>
    </row>
    <row r="114" spans="1:24" ht="11.25" hidden="1" customHeight="1" x14ac:dyDescent="0.25">
      <c r="A114" s="1169">
        <f>'Org structure'!E110</f>
        <v>0</v>
      </c>
      <c r="B114" s="293"/>
      <c r="C114" s="1627"/>
      <c r="D114" s="1627"/>
      <c r="E114" s="1630"/>
      <c r="F114" s="1629"/>
      <c r="G114" s="1627"/>
      <c r="H114" s="1628"/>
      <c r="I114" s="1630"/>
      <c r="J114" s="2472">
        <f t="shared" si="58"/>
        <v>0</v>
      </c>
      <c r="K114" s="942">
        <f t="shared" si="59"/>
        <v>0</v>
      </c>
      <c r="L114" s="2473">
        <f t="shared" si="60"/>
        <v>0</v>
      </c>
      <c r="M114" s="320"/>
      <c r="N114" s="1629"/>
      <c r="O114" s="1627"/>
      <c r="P114" s="1628"/>
      <c r="Q114" s="978">
        <f t="shared" si="61"/>
        <v>0</v>
      </c>
      <c r="R114" s="1629"/>
      <c r="S114" s="1627"/>
      <c r="T114" s="1630"/>
      <c r="U114" s="2465">
        <f t="shared" si="43"/>
        <v>0</v>
      </c>
      <c r="V114" s="1630"/>
      <c r="W114" s="1627"/>
      <c r="X114" s="1632"/>
    </row>
    <row r="115" spans="1:24" ht="11.25" hidden="1" customHeight="1" x14ac:dyDescent="0.25">
      <c r="A115" s="1169">
        <f>'Org structure'!E111</f>
        <v>0</v>
      </c>
      <c r="B115" s="293"/>
      <c r="C115" s="1627"/>
      <c r="D115" s="1627"/>
      <c r="E115" s="1630"/>
      <c r="F115" s="1629"/>
      <c r="G115" s="1627"/>
      <c r="H115" s="1628"/>
      <c r="I115" s="1630"/>
      <c r="J115" s="2472">
        <f t="shared" si="58"/>
        <v>0</v>
      </c>
      <c r="K115" s="942">
        <f t="shared" si="59"/>
        <v>0</v>
      </c>
      <c r="L115" s="2473">
        <f t="shared" si="60"/>
        <v>0</v>
      </c>
      <c r="M115" s="320"/>
      <c r="N115" s="1629"/>
      <c r="O115" s="1627"/>
      <c r="P115" s="1628"/>
      <c r="Q115" s="978">
        <f t="shared" si="61"/>
        <v>0</v>
      </c>
      <c r="R115" s="1629"/>
      <c r="S115" s="1627"/>
      <c r="T115" s="1630"/>
      <c r="U115" s="2465">
        <f t="shared" si="43"/>
        <v>0</v>
      </c>
      <c r="V115" s="1630"/>
      <c r="W115" s="1627"/>
      <c r="X115" s="1632"/>
    </row>
    <row r="116" spans="1:24" ht="15" hidden="1" customHeight="1" x14ac:dyDescent="0.25">
      <c r="A116" s="1168" t="str">
        <f>'Org structure'!A12</f>
        <v>Vote 11 - [NAME OF VOTE 11]</v>
      </c>
      <c r="B116" s="293"/>
      <c r="C116" s="976">
        <f t="shared" ref="C116:L116" si="62">SUM(C117:C126)</f>
        <v>0</v>
      </c>
      <c r="D116" s="976">
        <f t="shared" si="62"/>
        <v>0</v>
      </c>
      <c r="E116" s="977">
        <f t="shared" si="62"/>
        <v>0</v>
      </c>
      <c r="F116" s="978">
        <f t="shared" si="62"/>
        <v>0</v>
      </c>
      <c r="G116" s="976">
        <f t="shared" si="62"/>
        <v>0</v>
      </c>
      <c r="H116" s="977">
        <f t="shared" si="62"/>
        <v>0</v>
      </c>
      <c r="I116" s="979">
        <f t="shared" si="62"/>
        <v>0</v>
      </c>
      <c r="J116" s="2472">
        <f t="shared" si="62"/>
        <v>0</v>
      </c>
      <c r="K116" s="942">
        <f t="shared" si="62"/>
        <v>0</v>
      </c>
      <c r="L116" s="2473">
        <f t="shared" si="62"/>
        <v>0</v>
      </c>
      <c r="M116" s="320"/>
      <c r="N116" s="978">
        <f t="shared" ref="N116:X116" si="63">SUM(N117:N126)</f>
        <v>0</v>
      </c>
      <c r="O116" s="976">
        <f t="shared" si="63"/>
        <v>0</v>
      </c>
      <c r="P116" s="977">
        <f t="shared" si="63"/>
        <v>0</v>
      </c>
      <c r="Q116" s="978">
        <f t="shared" si="63"/>
        <v>0</v>
      </c>
      <c r="R116" s="978">
        <f t="shared" si="63"/>
        <v>0</v>
      </c>
      <c r="S116" s="976">
        <f t="shared" si="63"/>
        <v>0</v>
      </c>
      <c r="T116" s="2469">
        <f t="shared" si="63"/>
        <v>0</v>
      </c>
      <c r="U116" s="2465">
        <f t="shared" si="63"/>
        <v>0</v>
      </c>
      <c r="V116" s="2470">
        <f t="shared" si="63"/>
        <v>0</v>
      </c>
      <c r="W116" s="976">
        <f t="shared" si="63"/>
        <v>0</v>
      </c>
      <c r="X116" s="2471">
        <f t="shared" si="63"/>
        <v>0</v>
      </c>
    </row>
    <row r="117" spans="1:24" ht="11.25" hidden="1" customHeight="1" x14ac:dyDescent="0.25">
      <c r="A117" s="1169" t="str">
        <f>'Org structure'!E113</f>
        <v>11.1 - [Name of sub-vote]</v>
      </c>
      <c r="B117" s="293"/>
      <c r="C117" s="1627"/>
      <c r="D117" s="1627"/>
      <c r="E117" s="1630"/>
      <c r="F117" s="1629"/>
      <c r="G117" s="1627"/>
      <c r="H117" s="1628"/>
      <c r="I117" s="1630"/>
      <c r="J117" s="2472">
        <f t="shared" ref="J117:J126" si="64">Q117+V117</f>
        <v>0</v>
      </c>
      <c r="K117" s="942">
        <f t="shared" ref="K117:K126" si="65">U117+W117</f>
        <v>0</v>
      </c>
      <c r="L117" s="2473">
        <f t="shared" ref="L117:L126" si="66">X117</f>
        <v>0</v>
      </c>
      <c r="M117" s="320"/>
      <c r="N117" s="1629"/>
      <c r="O117" s="1627"/>
      <c r="P117" s="1628"/>
      <c r="Q117" s="978">
        <f t="shared" ref="Q117:Q126" si="67">SUM(N117:P117)</f>
        <v>0</v>
      </c>
      <c r="R117" s="1629"/>
      <c r="S117" s="1627"/>
      <c r="T117" s="1630"/>
      <c r="U117" s="2465">
        <f t="shared" si="43"/>
        <v>0</v>
      </c>
      <c r="V117" s="1630"/>
      <c r="W117" s="1627"/>
      <c r="X117" s="1632"/>
    </row>
    <row r="118" spans="1:24" ht="11.25" hidden="1" customHeight="1" x14ac:dyDescent="0.25">
      <c r="A118" s="1169">
        <f>'Org structure'!E114</f>
        <v>0</v>
      </c>
      <c r="B118" s="293"/>
      <c r="C118" s="1627"/>
      <c r="D118" s="1627"/>
      <c r="E118" s="1630"/>
      <c r="F118" s="1629"/>
      <c r="G118" s="1627"/>
      <c r="H118" s="1628"/>
      <c r="I118" s="1630"/>
      <c r="J118" s="2472">
        <f t="shared" si="64"/>
        <v>0</v>
      </c>
      <c r="K118" s="942">
        <f t="shared" si="65"/>
        <v>0</v>
      </c>
      <c r="L118" s="2473">
        <f t="shared" si="66"/>
        <v>0</v>
      </c>
      <c r="M118" s="320"/>
      <c r="N118" s="1629"/>
      <c r="O118" s="1627"/>
      <c r="P118" s="1628"/>
      <c r="Q118" s="978">
        <f t="shared" si="67"/>
        <v>0</v>
      </c>
      <c r="R118" s="1629"/>
      <c r="S118" s="1627"/>
      <c r="T118" s="1630"/>
      <c r="U118" s="2465">
        <f t="shared" si="43"/>
        <v>0</v>
      </c>
      <c r="V118" s="1630"/>
      <c r="W118" s="1627"/>
      <c r="X118" s="1632"/>
    </row>
    <row r="119" spans="1:24" ht="11.25" hidden="1" customHeight="1" x14ac:dyDescent="0.25">
      <c r="A119" s="1169">
        <f>'Org structure'!E115</f>
        <v>0</v>
      </c>
      <c r="B119" s="293"/>
      <c r="C119" s="1627"/>
      <c r="D119" s="1627"/>
      <c r="E119" s="1630"/>
      <c r="F119" s="1629"/>
      <c r="G119" s="1627"/>
      <c r="H119" s="1628"/>
      <c r="I119" s="1630"/>
      <c r="J119" s="2472">
        <f t="shared" si="64"/>
        <v>0</v>
      </c>
      <c r="K119" s="942">
        <f t="shared" si="65"/>
        <v>0</v>
      </c>
      <c r="L119" s="2473">
        <f t="shared" si="66"/>
        <v>0</v>
      </c>
      <c r="M119" s="320"/>
      <c r="N119" s="1629"/>
      <c r="O119" s="1627"/>
      <c r="P119" s="1628"/>
      <c r="Q119" s="978">
        <f t="shared" si="67"/>
        <v>0</v>
      </c>
      <c r="R119" s="1629"/>
      <c r="S119" s="1627"/>
      <c r="T119" s="1630"/>
      <c r="U119" s="2465">
        <f t="shared" si="43"/>
        <v>0</v>
      </c>
      <c r="V119" s="1630"/>
      <c r="W119" s="1627"/>
      <c r="X119" s="1632"/>
    </row>
    <row r="120" spans="1:24" ht="11.25" hidden="1" customHeight="1" x14ac:dyDescent="0.25">
      <c r="A120" s="1169">
        <f>'Org structure'!E116</f>
        <v>0</v>
      </c>
      <c r="B120" s="293"/>
      <c r="C120" s="1627"/>
      <c r="D120" s="1627"/>
      <c r="E120" s="1630"/>
      <c r="F120" s="1629"/>
      <c r="G120" s="1627"/>
      <c r="H120" s="1628"/>
      <c r="I120" s="1630"/>
      <c r="J120" s="2472">
        <f t="shared" si="64"/>
        <v>0</v>
      </c>
      <c r="K120" s="942">
        <f t="shared" si="65"/>
        <v>0</v>
      </c>
      <c r="L120" s="2473">
        <f t="shared" si="66"/>
        <v>0</v>
      </c>
      <c r="M120" s="320"/>
      <c r="N120" s="1629"/>
      <c r="O120" s="1627"/>
      <c r="P120" s="1628"/>
      <c r="Q120" s="978">
        <f t="shared" si="67"/>
        <v>0</v>
      </c>
      <c r="R120" s="1629"/>
      <c r="S120" s="1627"/>
      <c r="T120" s="1630"/>
      <c r="U120" s="2465">
        <f t="shared" si="43"/>
        <v>0</v>
      </c>
      <c r="V120" s="1630"/>
      <c r="W120" s="1627"/>
      <c r="X120" s="1632"/>
    </row>
    <row r="121" spans="1:24" ht="11.25" hidden="1" customHeight="1" x14ac:dyDescent="0.25">
      <c r="A121" s="1169">
        <f>'Org structure'!E117</f>
        <v>0</v>
      </c>
      <c r="B121" s="293"/>
      <c r="C121" s="1627"/>
      <c r="D121" s="1627"/>
      <c r="E121" s="1630"/>
      <c r="F121" s="1629"/>
      <c r="G121" s="1627"/>
      <c r="H121" s="1628"/>
      <c r="I121" s="1630"/>
      <c r="J121" s="2472">
        <f t="shared" si="64"/>
        <v>0</v>
      </c>
      <c r="K121" s="942">
        <f t="shared" si="65"/>
        <v>0</v>
      </c>
      <c r="L121" s="2473">
        <f t="shared" si="66"/>
        <v>0</v>
      </c>
      <c r="M121" s="320"/>
      <c r="N121" s="1629"/>
      <c r="O121" s="1627"/>
      <c r="P121" s="1628"/>
      <c r="Q121" s="978">
        <f t="shared" si="67"/>
        <v>0</v>
      </c>
      <c r="R121" s="1629"/>
      <c r="S121" s="1627"/>
      <c r="T121" s="1630"/>
      <c r="U121" s="2465">
        <f t="shared" si="43"/>
        <v>0</v>
      </c>
      <c r="V121" s="1630"/>
      <c r="W121" s="1627"/>
      <c r="X121" s="1632"/>
    </row>
    <row r="122" spans="1:24" ht="11.25" hidden="1" customHeight="1" x14ac:dyDescent="0.25">
      <c r="A122" s="1169">
        <f>'Org structure'!E118</f>
        <v>0</v>
      </c>
      <c r="B122" s="293"/>
      <c r="C122" s="1627"/>
      <c r="D122" s="1627"/>
      <c r="E122" s="1630"/>
      <c r="F122" s="1629"/>
      <c r="G122" s="1627"/>
      <c r="H122" s="1628"/>
      <c r="I122" s="1630"/>
      <c r="J122" s="2472">
        <f t="shared" si="64"/>
        <v>0</v>
      </c>
      <c r="K122" s="942">
        <f t="shared" si="65"/>
        <v>0</v>
      </c>
      <c r="L122" s="2473">
        <f t="shared" si="66"/>
        <v>0</v>
      </c>
      <c r="M122" s="320"/>
      <c r="N122" s="1629"/>
      <c r="O122" s="1627"/>
      <c r="P122" s="1628"/>
      <c r="Q122" s="978">
        <f t="shared" si="67"/>
        <v>0</v>
      </c>
      <c r="R122" s="1629"/>
      <c r="S122" s="1627"/>
      <c r="T122" s="1630"/>
      <c r="U122" s="2465">
        <f t="shared" si="43"/>
        <v>0</v>
      </c>
      <c r="V122" s="1630"/>
      <c r="W122" s="1627"/>
      <c r="X122" s="1632"/>
    </row>
    <row r="123" spans="1:24" ht="11.25" hidden="1" customHeight="1" x14ac:dyDescent="0.25">
      <c r="A123" s="1169">
        <f>'Org structure'!E119</f>
        <v>0</v>
      </c>
      <c r="B123" s="293"/>
      <c r="C123" s="1627"/>
      <c r="D123" s="1627"/>
      <c r="E123" s="1630"/>
      <c r="F123" s="1629"/>
      <c r="G123" s="1627"/>
      <c r="H123" s="1628"/>
      <c r="I123" s="1630"/>
      <c r="J123" s="2472">
        <f t="shared" si="64"/>
        <v>0</v>
      </c>
      <c r="K123" s="942">
        <f t="shared" si="65"/>
        <v>0</v>
      </c>
      <c r="L123" s="2473">
        <f t="shared" si="66"/>
        <v>0</v>
      </c>
      <c r="M123" s="320"/>
      <c r="N123" s="1629"/>
      <c r="O123" s="1627"/>
      <c r="P123" s="1628"/>
      <c r="Q123" s="978">
        <f t="shared" si="67"/>
        <v>0</v>
      </c>
      <c r="R123" s="1629"/>
      <c r="S123" s="1627"/>
      <c r="T123" s="1630"/>
      <c r="U123" s="2465">
        <f t="shared" si="43"/>
        <v>0</v>
      </c>
      <c r="V123" s="1630"/>
      <c r="W123" s="1627"/>
      <c r="X123" s="1632"/>
    </row>
    <row r="124" spans="1:24" ht="11.25" hidden="1" customHeight="1" x14ac:dyDescent="0.25">
      <c r="A124" s="1169">
        <f>'Org structure'!E120</f>
        <v>0</v>
      </c>
      <c r="B124" s="293"/>
      <c r="C124" s="1627"/>
      <c r="D124" s="1627"/>
      <c r="E124" s="1630"/>
      <c r="F124" s="1629"/>
      <c r="G124" s="1627"/>
      <c r="H124" s="1628"/>
      <c r="I124" s="1630"/>
      <c r="J124" s="2472">
        <f t="shared" si="64"/>
        <v>0</v>
      </c>
      <c r="K124" s="942">
        <f t="shared" si="65"/>
        <v>0</v>
      </c>
      <c r="L124" s="2473">
        <f t="shared" si="66"/>
        <v>0</v>
      </c>
      <c r="M124" s="320"/>
      <c r="N124" s="1629"/>
      <c r="O124" s="1627"/>
      <c r="P124" s="1628"/>
      <c r="Q124" s="978">
        <f t="shared" si="67"/>
        <v>0</v>
      </c>
      <c r="R124" s="1629"/>
      <c r="S124" s="1627"/>
      <c r="T124" s="1630"/>
      <c r="U124" s="2465">
        <f t="shared" si="43"/>
        <v>0</v>
      </c>
      <c r="V124" s="1630"/>
      <c r="W124" s="1627"/>
      <c r="X124" s="1632"/>
    </row>
    <row r="125" spans="1:24" ht="11.25" hidden="1" customHeight="1" x14ac:dyDescent="0.25">
      <c r="A125" s="1169">
        <f>'Org structure'!E121</f>
        <v>0</v>
      </c>
      <c r="B125" s="293"/>
      <c r="C125" s="1627"/>
      <c r="D125" s="1627"/>
      <c r="E125" s="1630"/>
      <c r="F125" s="1629"/>
      <c r="G125" s="1627"/>
      <c r="H125" s="1628"/>
      <c r="I125" s="1630"/>
      <c r="J125" s="2472">
        <f t="shared" si="64"/>
        <v>0</v>
      </c>
      <c r="K125" s="942">
        <f t="shared" si="65"/>
        <v>0</v>
      </c>
      <c r="L125" s="2473">
        <f t="shared" si="66"/>
        <v>0</v>
      </c>
      <c r="M125" s="320"/>
      <c r="N125" s="1629"/>
      <c r="O125" s="1627"/>
      <c r="P125" s="1628"/>
      <c r="Q125" s="978">
        <f t="shared" si="67"/>
        <v>0</v>
      </c>
      <c r="R125" s="1629"/>
      <c r="S125" s="1627"/>
      <c r="T125" s="1630"/>
      <c r="U125" s="2465">
        <f t="shared" si="43"/>
        <v>0</v>
      </c>
      <c r="V125" s="1630"/>
      <c r="W125" s="1627"/>
      <c r="X125" s="1632"/>
    </row>
    <row r="126" spans="1:24" ht="11.25" hidden="1" customHeight="1" x14ac:dyDescent="0.25">
      <c r="A126" s="1169">
        <f>'Org structure'!E122</f>
        <v>0</v>
      </c>
      <c r="B126" s="293"/>
      <c r="C126" s="1627"/>
      <c r="D126" s="1627"/>
      <c r="E126" s="1630"/>
      <c r="F126" s="1629"/>
      <c r="G126" s="1627"/>
      <c r="H126" s="1628"/>
      <c r="I126" s="1630"/>
      <c r="J126" s="2472">
        <f t="shared" si="64"/>
        <v>0</v>
      </c>
      <c r="K126" s="942">
        <f t="shared" si="65"/>
        <v>0</v>
      </c>
      <c r="L126" s="2473">
        <f t="shared" si="66"/>
        <v>0</v>
      </c>
      <c r="M126" s="320"/>
      <c r="N126" s="1629"/>
      <c r="O126" s="1627"/>
      <c r="P126" s="1628"/>
      <c r="Q126" s="978">
        <f t="shared" si="67"/>
        <v>0</v>
      </c>
      <c r="R126" s="1629"/>
      <c r="S126" s="1627"/>
      <c r="T126" s="1630"/>
      <c r="U126" s="2465">
        <f t="shared" si="43"/>
        <v>0</v>
      </c>
      <c r="V126" s="1630"/>
      <c r="W126" s="1627"/>
      <c r="X126" s="1632"/>
    </row>
    <row r="127" spans="1:24" ht="15" hidden="1" customHeight="1" x14ac:dyDescent="0.25">
      <c r="A127" s="1168" t="str">
        <f>'Org structure'!A13</f>
        <v>Vote 12 - [NAME OF VOTE 12]</v>
      </c>
      <c r="B127" s="293"/>
      <c r="C127" s="976">
        <f t="shared" ref="C127:L127" si="68">SUM(C128:C137)</f>
        <v>0</v>
      </c>
      <c r="D127" s="976">
        <f t="shared" si="68"/>
        <v>0</v>
      </c>
      <c r="E127" s="977">
        <f t="shared" si="68"/>
        <v>0</v>
      </c>
      <c r="F127" s="978">
        <f t="shared" si="68"/>
        <v>0</v>
      </c>
      <c r="G127" s="976">
        <f t="shared" si="68"/>
        <v>0</v>
      </c>
      <c r="H127" s="977">
        <f t="shared" si="68"/>
        <v>0</v>
      </c>
      <c r="I127" s="979">
        <f t="shared" si="68"/>
        <v>0</v>
      </c>
      <c r="J127" s="2472">
        <f t="shared" si="68"/>
        <v>0</v>
      </c>
      <c r="K127" s="942">
        <f t="shared" si="68"/>
        <v>0</v>
      </c>
      <c r="L127" s="2473">
        <f t="shared" si="68"/>
        <v>0</v>
      </c>
      <c r="M127" s="320"/>
      <c r="N127" s="978">
        <f t="shared" ref="N127:X127" si="69">SUM(N128:N137)</f>
        <v>0</v>
      </c>
      <c r="O127" s="976">
        <f t="shared" si="69"/>
        <v>0</v>
      </c>
      <c r="P127" s="977">
        <f t="shared" si="69"/>
        <v>0</v>
      </c>
      <c r="Q127" s="978">
        <f t="shared" si="69"/>
        <v>0</v>
      </c>
      <c r="R127" s="978">
        <f t="shared" si="69"/>
        <v>0</v>
      </c>
      <c r="S127" s="976">
        <f t="shared" si="69"/>
        <v>0</v>
      </c>
      <c r="T127" s="2469">
        <f t="shared" si="69"/>
        <v>0</v>
      </c>
      <c r="U127" s="2465">
        <f t="shared" si="69"/>
        <v>0</v>
      </c>
      <c r="V127" s="2470">
        <f t="shared" si="69"/>
        <v>0</v>
      </c>
      <c r="W127" s="976">
        <f t="shared" si="69"/>
        <v>0</v>
      </c>
      <c r="X127" s="2471">
        <f t="shared" si="69"/>
        <v>0</v>
      </c>
    </row>
    <row r="128" spans="1:24" ht="11.25" hidden="1" customHeight="1" x14ac:dyDescent="0.25">
      <c r="A128" s="1169" t="str">
        <f>'Org structure'!E124</f>
        <v>12.1 - [Name of sub-vote]</v>
      </c>
      <c r="B128" s="293"/>
      <c r="C128" s="1627"/>
      <c r="D128" s="1627"/>
      <c r="E128" s="1630"/>
      <c r="F128" s="1629"/>
      <c r="G128" s="1627"/>
      <c r="H128" s="1628"/>
      <c r="I128" s="1630"/>
      <c r="J128" s="2472">
        <f t="shared" ref="J128:J137" si="70">Q128+V128</f>
        <v>0</v>
      </c>
      <c r="K128" s="942">
        <f t="shared" ref="K128:K137" si="71">U128+W128</f>
        <v>0</v>
      </c>
      <c r="L128" s="2473">
        <f t="shared" ref="L128:L137" si="72">X128</f>
        <v>0</v>
      </c>
      <c r="M128" s="320"/>
      <c r="N128" s="1629"/>
      <c r="O128" s="1627"/>
      <c r="P128" s="1628"/>
      <c r="Q128" s="978">
        <f t="shared" ref="Q128:Q137" si="73">SUM(N128:P128)</f>
        <v>0</v>
      </c>
      <c r="R128" s="1629"/>
      <c r="S128" s="1627"/>
      <c r="T128" s="1630"/>
      <c r="U128" s="2465">
        <f t="shared" si="43"/>
        <v>0</v>
      </c>
      <c r="V128" s="1630"/>
      <c r="W128" s="1627"/>
      <c r="X128" s="1632"/>
    </row>
    <row r="129" spans="1:24" ht="11.25" hidden="1" customHeight="1" x14ac:dyDescent="0.25">
      <c r="A129" s="1169">
        <f>'Org structure'!E125</f>
        <v>0</v>
      </c>
      <c r="B129" s="293"/>
      <c r="C129" s="1627"/>
      <c r="D129" s="1627"/>
      <c r="E129" s="1630"/>
      <c r="F129" s="1629"/>
      <c r="G129" s="1627"/>
      <c r="H129" s="1628"/>
      <c r="I129" s="1630"/>
      <c r="J129" s="2472">
        <f t="shared" si="70"/>
        <v>0</v>
      </c>
      <c r="K129" s="942">
        <f t="shared" si="71"/>
        <v>0</v>
      </c>
      <c r="L129" s="2473">
        <f t="shared" si="72"/>
        <v>0</v>
      </c>
      <c r="M129" s="320"/>
      <c r="N129" s="1629"/>
      <c r="O129" s="1627"/>
      <c r="P129" s="1628"/>
      <c r="Q129" s="978">
        <f t="shared" si="73"/>
        <v>0</v>
      </c>
      <c r="R129" s="1629"/>
      <c r="S129" s="1627"/>
      <c r="T129" s="1630"/>
      <c r="U129" s="2465">
        <f t="shared" si="43"/>
        <v>0</v>
      </c>
      <c r="V129" s="1630"/>
      <c r="W129" s="1627"/>
      <c r="X129" s="1632"/>
    </row>
    <row r="130" spans="1:24" ht="11.25" hidden="1" customHeight="1" x14ac:dyDescent="0.25">
      <c r="A130" s="1169">
        <f>'Org structure'!E126</f>
        <v>0</v>
      </c>
      <c r="B130" s="293"/>
      <c r="C130" s="1627"/>
      <c r="D130" s="1627"/>
      <c r="E130" s="1630"/>
      <c r="F130" s="1629"/>
      <c r="G130" s="1627"/>
      <c r="H130" s="1628"/>
      <c r="I130" s="1630"/>
      <c r="J130" s="2472">
        <f t="shared" si="70"/>
        <v>0</v>
      </c>
      <c r="K130" s="942">
        <f t="shared" si="71"/>
        <v>0</v>
      </c>
      <c r="L130" s="2473">
        <f t="shared" si="72"/>
        <v>0</v>
      </c>
      <c r="M130" s="320"/>
      <c r="N130" s="1629"/>
      <c r="O130" s="1627"/>
      <c r="P130" s="1628"/>
      <c r="Q130" s="978">
        <f t="shared" si="73"/>
        <v>0</v>
      </c>
      <c r="R130" s="1629"/>
      <c r="S130" s="1627"/>
      <c r="T130" s="1630"/>
      <c r="U130" s="2465">
        <f t="shared" si="43"/>
        <v>0</v>
      </c>
      <c r="V130" s="1630"/>
      <c r="W130" s="1627"/>
      <c r="X130" s="1632"/>
    </row>
    <row r="131" spans="1:24" ht="11.25" hidden="1" customHeight="1" x14ac:dyDescent="0.25">
      <c r="A131" s="1169">
        <f>'Org structure'!E127</f>
        <v>0</v>
      </c>
      <c r="B131" s="293"/>
      <c r="C131" s="1627"/>
      <c r="D131" s="1627"/>
      <c r="E131" s="1630"/>
      <c r="F131" s="1629"/>
      <c r="G131" s="1627"/>
      <c r="H131" s="1628"/>
      <c r="I131" s="1630"/>
      <c r="J131" s="2472">
        <f t="shared" si="70"/>
        <v>0</v>
      </c>
      <c r="K131" s="942">
        <f t="shared" si="71"/>
        <v>0</v>
      </c>
      <c r="L131" s="2473">
        <f t="shared" si="72"/>
        <v>0</v>
      </c>
      <c r="M131" s="320"/>
      <c r="N131" s="1629"/>
      <c r="O131" s="1627"/>
      <c r="P131" s="1628"/>
      <c r="Q131" s="978">
        <f t="shared" si="73"/>
        <v>0</v>
      </c>
      <c r="R131" s="1629"/>
      <c r="S131" s="1627"/>
      <c r="T131" s="1630"/>
      <c r="U131" s="2465">
        <f t="shared" si="43"/>
        <v>0</v>
      </c>
      <c r="V131" s="1630"/>
      <c r="W131" s="1627"/>
      <c r="X131" s="1632"/>
    </row>
    <row r="132" spans="1:24" ht="11.25" hidden="1" customHeight="1" x14ac:dyDescent="0.25">
      <c r="A132" s="1169">
        <f>'Org structure'!E128</f>
        <v>0</v>
      </c>
      <c r="B132" s="293"/>
      <c r="C132" s="1627"/>
      <c r="D132" s="1627"/>
      <c r="E132" s="1630"/>
      <c r="F132" s="1629"/>
      <c r="G132" s="1627"/>
      <c r="H132" s="1628"/>
      <c r="I132" s="1630"/>
      <c r="J132" s="2472">
        <f t="shared" si="70"/>
        <v>0</v>
      </c>
      <c r="K132" s="942">
        <f t="shared" si="71"/>
        <v>0</v>
      </c>
      <c r="L132" s="2473">
        <f t="shared" si="72"/>
        <v>0</v>
      </c>
      <c r="M132" s="320"/>
      <c r="N132" s="1629"/>
      <c r="O132" s="1627"/>
      <c r="P132" s="1628"/>
      <c r="Q132" s="978">
        <f t="shared" si="73"/>
        <v>0</v>
      </c>
      <c r="R132" s="1629"/>
      <c r="S132" s="1627"/>
      <c r="T132" s="1630"/>
      <c r="U132" s="2465">
        <f t="shared" si="43"/>
        <v>0</v>
      </c>
      <c r="V132" s="1630"/>
      <c r="W132" s="1627"/>
      <c r="X132" s="1632"/>
    </row>
    <row r="133" spans="1:24" ht="11.25" hidden="1" customHeight="1" x14ac:dyDescent="0.25">
      <c r="A133" s="1169">
        <f>'Org structure'!E129</f>
        <v>0</v>
      </c>
      <c r="B133" s="293"/>
      <c r="C133" s="1627"/>
      <c r="D133" s="1627"/>
      <c r="E133" s="1630"/>
      <c r="F133" s="1629"/>
      <c r="G133" s="1627"/>
      <c r="H133" s="1628"/>
      <c r="I133" s="1630"/>
      <c r="J133" s="2472">
        <f>Q133+V133</f>
        <v>0</v>
      </c>
      <c r="K133" s="942">
        <f t="shared" si="71"/>
        <v>0</v>
      </c>
      <c r="L133" s="2473">
        <f t="shared" si="72"/>
        <v>0</v>
      </c>
      <c r="M133" s="320"/>
      <c r="N133" s="1629"/>
      <c r="O133" s="1627"/>
      <c r="P133" s="1628"/>
      <c r="Q133" s="978">
        <f t="shared" si="73"/>
        <v>0</v>
      </c>
      <c r="R133" s="1629"/>
      <c r="S133" s="1627"/>
      <c r="T133" s="1630"/>
      <c r="U133" s="2465">
        <f t="shared" si="43"/>
        <v>0</v>
      </c>
      <c r="V133" s="1630"/>
      <c r="W133" s="1627"/>
      <c r="X133" s="1632"/>
    </row>
    <row r="134" spans="1:24" ht="11.25" hidden="1" customHeight="1" x14ac:dyDescent="0.25">
      <c r="A134" s="1169">
        <f>'Org structure'!E130</f>
        <v>0</v>
      </c>
      <c r="B134" s="293"/>
      <c r="C134" s="1627"/>
      <c r="D134" s="1627"/>
      <c r="E134" s="1630"/>
      <c r="F134" s="1629"/>
      <c r="G134" s="1627"/>
      <c r="H134" s="1628"/>
      <c r="I134" s="1630"/>
      <c r="J134" s="2472">
        <f t="shared" si="70"/>
        <v>0</v>
      </c>
      <c r="K134" s="942">
        <f t="shared" si="71"/>
        <v>0</v>
      </c>
      <c r="L134" s="2473">
        <f t="shared" si="72"/>
        <v>0</v>
      </c>
      <c r="M134" s="320"/>
      <c r="N134" s="1629"/>
      <c r="O134" s="1627"/>
      <c r="P134" s="1628"/>
      <c r="Q134" s="978">
        <f t="shared" si="73"/>
        <v>0</v>
      </c>
      <c r="R134" s="1629"/>
      <c r="S134" s="1627"/>
      <c r="T134" s="1630"/>
      <c r="U134" s="2465">
        <f t="shared" si="43"/>
        <v>0</v>
      </c>
      <c r="V134" s="1630"/>
      <c r="W134" s="1627"/>
      <c r="X134" s="1632"/>
    </row>
    <row r="135" spans="1:24" ht="11.25" hidden="1" customHeight="1" x14ac:dyDescent="0.25">
      <c r="A135" s="1169">
        <f>'Org structure'!E131</f>
        <v>0</v>
      </c>
      <c r="B135" s="293"/>
      <c r="C135" s="1627"/>
      <c r="D135" s="1627"/>
      <c r="E135" s="1630"/>
      <c r="F135" s="1629"/>
      <c r="G135" s="1627"/>
      <c r="H135" s="1628"/>
      <c r="I135" s="1630"/>
      <c r="J135" s="2472">
        <f t="shared" si="70"/>
        <v>0</v>
      </c>
      <c r="K135" s="942">
        <f t="shared" si="71"/>
        <v>0</v>
      </c>
      <c r="L135" s="2473">
        <f t="shared" si="72"/>
        <v>0</v>
      </c>
      <c r="M135" s="320"/>
      <c r="N135" s="1629"/>
      <c r="O135" s="1627"/>
      <c r="P135" s="1628"/>
      <c r="Q135" s="978">
        <f t="shared" si="73"/>
        <v>0</v>
      </c>
      <c r="R135" s="1629"/>
      <c r="S135" s="1627"/>
      <c r="T135" s="1630"/>
      <c r="U135" s="2465">
        <f t="shared" si="43"/>
        <v>0</v>
      </c>
      <c r="V135" s="1630"/>
      <c r="W135" s="1627"/>
      <c r="X135" s="1632"/>
    </row>
    <row r="136" spans="1:24" ht="11.25" hidden="1" customHeight="1" x14ac:dyDescent="0.25">
      <c r="A136" s="1169">
        <f>'Org structure'!E132</f>
        <v>0</v>
      </c>
      <c r="B136" s="293"/>
      <c r="C136" s="1627"/>
      <c r="D136" s="1627"/>
      <c r="E136" s="1630"/>
      <c r="F136" s="1629"/>
      <c r="G136" s="1627"/>
      <c r="H136" s="1628"/>
      <c r="I136" s="1630"/>
      <c r="J136" s="2472">
        <f t="shared" si="70"/>
        <v>0</v>
      </c>
      <c r="K136" s="942">
        <f t="shared" si="71"/>
        <v>0</v>
      </c>
      <c r="L136" s="2473">
        <f t="shared" si="72"/>
        <v>0</v>
      </c>
      <c r="M136" s="320"/>
      <c r="N136" s="1629"/>
      <c r="O136" s="1627"/>
      <c r="P136" s="1628"/>
      <c r="Q136" s="978">
        <f t="shared" si="73"/>
        <v>0</v>
      </c>
      <c r="R136" s="1629"/>
      <c r="S136" s="1627"/>
      <c r="T136" s="1630"/>
      <c r="U136" s="2465">
        <f t="shared" ref="U136:U170" si="74">SUM(R136:T136)</f>
        <v>0</v>
      </c>
      <c r="V136" s="1630"/>
      <c r="W136" s="1627"/>
      <c r="X136" s="1632"/>
    </row>
    <row r="137" spans="1:24" ht="11.25" hidden="1" customHeight="1" x14ac:dyDescent="0.25">
      <c r="A137" s="1169">
        <f>'Org structure'!E133</f>
        <v>0</v>
      </c>
      <c r="B137" s="293"/>
      <c r="C137" s="1627"/>
      <c r="D137" s="1627"/>
      <c r="E137" s="1630"/>
      <c r="F137" s="1629"/>
      <c r="G137" s="1627"/>
      <c r="H137" s="1628"/>
      <c r="I137" s="1630"/>
      <c r="J137" s="2472">
        <f t="shared" si="70"/>
        <v>0</v>
      </c>
      <c r="K137" s="942">
        <f t="shared" si="71"/>
        <v>0</v>
      </c>
      <c r="L137" s="2473">
        <f t="shared" si="72"/>
        <v>0</v>
      </c>
      <c r="M137" s="320"/>
      <c r="N137" s="1629"/>
      <c r="O137" s="1627"/>
      <c r="P137" s="1628"/>
      <c r="Q137" s="978">
        <f t="shared" si="73"/>
        <v>0</v>
      </c>
      <c r="R137" s="1629"/>
      <c r="S137" s="1627"/>
      <c r="T137" s="1630"/>
      <c r="U137" s="2465">
        <f t="shared" si="74"/>
        <v>0</v>
      </c>
      <c r="V137" s="1630"/>
      <c r="W137" s="1627"/>
      <c r="X137" s="1632"/>
    </row>
    <row r="138" spans="1:24" ht="15" hidden="1" customHeight="1" x14ac:dyDescent="0.25">
      <c r="A138" s="1168" t="str">
        <f>'Org structure'!A14</f>
        <v>Vote 13 - [NAME OF VOTE 13]</v>
      </c>
      <c r="B138" s="293"/>
      <c r="C138" s="976">
        <f t="shared" ref="C138:L138" si="75">SUM(C139:C148)</f>
        <v>0</v>
      </c>
      <c r="D138" s="976">
        <f t="shared" si="75"/>
        <v>0</v>
      </c>
      <c r="E138" s="977">
        <f t="shared" si="75"/>
        <v>0</v>
      </c>
      <c r="F138" s="978">
        <f t="shared" si="75"/>
        <v>0</v>
      </c>
      <c r="G138" s="976">
        <f t="shared" si="75"/>
        <v>0</v>
      </c>
      <c r="H138" s="977">
        <f t="shared" si="75"/>
        <v>0</v>
      </c>
      <c r="I138" s="979">
        <f t="shared" si="75"/>
        <v>0</v>
      </c>
      <c r="J138" s="2472">
        <f t="shared" si="75"/>
        <v>0</v>
      </c>
      <c r="K138" s="942">
        <f t="shared" si="75"/>
        <v>0</v>
      </c>
      <c r="L138" s="2473">
        <f t="shared" si="75"/>
        <v>0</v>
      </c>
      <c r="M138" s="320"/>
      <c r="N138" s="978">
        <f t="shared" ref="N138:X138" si="76">SUM(N139:N148)</f>
        <v>0</v>
      </c>
      <c r="O138" s="976">
        <f t="shared" si="76"/>
        <v>0</v>
      </c>
      <c r="P138" s="977">
        <f t="shared" si="76"/>
        <v>0</v>
      </c>
      <c r="Q138" s="978">
        <f t="shared" si="76"/>
        <v>0</v>
      </c>
      <c r="R138" s="978">
        <f t="shared" si="76"/>
        <v>0</v>
      </c>
      <c r="S138" s="976">
        <f t="shared" si="76"/>
        <v>0</v>
      </c>
      <c r="T138" s="2469">
        <f t="shared" si="76"/>
        <v>0</v>
      </c>
      <c r="U138" s="2465">
        <f t="shared" si="76"/>
        <v>0</v>
      </c>
      <c r="V138" s="2470">
        <f t="shared" si="76"/>
        <v>0</v>
      </c>
      <c r="W138" s="976">
        <f t="shared" si="76"/>
        <v>0</v>
      </c>
      <c r="X138" s="2471">
        <f t="shared" si="76"/>
        <v>0</v>
      </c>
    </row>
    <row r="139" spans="1:24" ht="11.25" hidden="1" customHeight="1" x14ac:dyDescent="0.25">
      <c r="A139" s="1169" t="str">
        <f>'Org structure'!E135</f>
        <v>13.1 - [Name of sub-vote]</v>
      </c>
      <c r="B139" s="293"/>
      <c r="C139" s="1627"/>
      <c r="D139" s="1627"/>
      <c r="E139" s="1630"/>
      <c r="F139" s="1629"/>
      <c r="G139" s="1627"/>
      <c r="H139" s="1628"/>
      <c r="I139" s="1630"/>
      <c r="J139" s="2472">
        <f t="shared" ref="J139:J148" si="77">Q139+V139</f>
        <v>0</v>
      </c>
      <c r="K139" s="942">
        <f t="shared" ref="K139:K148" si="78">U139+W139</f>
        <v>0</v>
      </c>
      <c r="L139" s="2473">
        <f t="shared" ref="L139:L148" si="79">X139</f>
        <v>0</v>
      </c>
      <c r="M139" s="320"/>
      <c r="N139" s="1629"/>
      <c r="O139" s="1627"/>
      <c r="P139" s="1628"/>
      <c r="Q139" s="978">
        <f t="shared" ref="Q139:Q148" si="80">SUM(N139:P139)</f>
        <v>0</v>
      </c>
      <c r="R139" s="1629"/>
      <c r="S139" s="1627"/>
      <c r="T139" s="1630"/>
      <c r="U139" s="2465">
        <f t="shared" si="74"/>
        <v>0</v>
      </c>
      <c r="V139" s="1630"/>
      <c r="W139" s="1627"/>
      <c r="X139" s="1632"/>
    </row>
    <row r="140" spans="1:24" ht="11.25" hidden="1" customHeight="1" x14ac:dyDescent="0.25">
      <c r="A140" s="1169">
        <f>'Org structure'!E136</f>
        <v>0</v>
      </c>
      <c r="B140" s="293"/>
      <c r="C140" s="1627"/>
      <c r="D140" s="1627"/>
      <c r="E140" s="1630"/>
      <c r="F140" s="1629"/>
      <c r="G140" s="1627"/>
      <c r="H140" s="1628"/>
      <c r="I140" s="1630"/>
      <c r="J140" s="2472">
        <f t="shared" si="77"/>
        <v>0</v>
      </c>
      <c r="K140" s="942">
        <f t="shared" si="78"/>
        <v>0</v>
      </c>
      <c r="L140" s="2473">
        <f t="shared" si="79"/>
        <v>0</v>
      </c>
      <c r="M140" s="320"/>
      <c r="N140" s="1629"/>
      <c r="O140" s="1627"/>
      <c r="P140" s="1628"/>
      <c r="Q140" s="978">
        <f t="shared" si="80"/>
        <v>0</v>
      </c>
      <c r="R140" s="1629"/>
      <c r="S140" s="1627"/>
      <c r="T140" s="1630"/>
      <c r="U140" s="2465">
        <f t="shared" si="74"/>
        <v>0</v>
      </c>
      <c r="V140" s="1630"/>
      <c r="W140" s="1627"/>
      <c r="X140" s="1632"/>
    </row>
    <row r="141" spans="1:24" ht="11.25" hidden="1" customHeight="1" x14ac:dyDescent="0.25">
      <c r="A141" s="1169">
        <f>'Org structure'!E137</f>
        <v>0</v>
      </c>
      <c r="B141" s="293"/>
      <c r="C141" s="1627"/>
      <c r="D141" s="1627"/>
      <c r="E141" s="1630"/>
      <c r="F141" s="1629"/>
      <c r="G141" s="1627"/>
      <c r="H141" s="1628"/>
      <c r="I141" s="1630"/>
      <c r="J141" s="2472">
        <f t="shared" si="77"/>
        <v>0</v>
      </c>
      <c r="K141" s="942">
        <f t="shared" si="78"/>
        <v>0</v>
      </c>
      <c r="L141" s="2473">
        <f t="shared" si="79"/>
        <v>0</v>
      </c>
      <c r="M141" s="320"/>
      <c r="N141" s="1629"/>
      <c r="O141" s="1627"/>
      <c r="P141" s="1628"/>
      <c r="Q141" s="978">
        <f t="shared" si="80"/>
        <v>0</v>
      </c>
      <c r="R141" s="1629"/>
      <c r="S141" s="1627"/>
      <c r="T141" s="1630"/>
      <c r="U141" s="2465">
        <f t="shared" si="74"/>
        <v>0</v>
      </c>
      <c r="V141" s="1630"/>
      <c r="W141" s="1627"/>
      <c r="X141" s="1632"/>
    </row>
    <row r="142" spans="1:24" ht="11.25" hidden="1" customHeight="1" x14ac:dyDescent="0.25">
      <c r="A142" s="1169">
        <f>'Org structure'!E138</f>
        <v>0</v>
      </c>
      <c r="B142" s="293"/>
      <c r="C142" s="1627"/>
      <c r="D142" s="1627"/>
      <c r="E142" s="1630"/>
      <c r="F142" s="1629"/>
      <c r="G142" s="1627"/>
      <c r="H142" s="1628"/>
      <c r="I142" s="1630"/>
      <c r="J142" s="2472">
        <f t="shared" si="77"/>
        <v>0</v>
      </c>
      <c r="K142" s="942">
        <f t="shared" si="78"/>
        <v>0</v>
      </c>
      <c r="L142" s="2473">
        <f t="shared" si="79"/>
        <v>0</v>
      </c>
      <c r="M142" s="320"/>
      <c r="N142" s="1629"/>
      <c r="O142" s="1627"/>
      <c r="P142" s="1628"/>
      <c r="Q142" s="978">
        <f t="shared" si="80"/>
        <v>0</v>
      </c>
      <c r="R142" s="1629"/>
      <c r="S142" s="1627"/>
      <c r="T142" s="1630"/>
      <c r="U142" s="2465">
        <f t="shared" si="74"/>
        <v>0</v>
      </c>
      <c r="V142" s="1630"/>
      <c r="W142" s="1627"/>
      <c r="X142" s="1632"/>
    </row>
    <row r="143" spans="1:24" ht="11.25" hidden="1" customHeight="1" x14ac:dyDescent="0.25">
      <c r="A143" s="1169">
        <f>'Org structure'!E139</f>
        <v>0</v>
      </c>
      <c r="B143" s="293"/>
      <c r="C143" s="1627"/>
      <c r="D143" s="1627"/>
      <c r="E143" s="1630"/>
      <c r="F143" s="1629"/>
      <c r="G143" s="1627"/>
      <c r="H143" s="1628"/>
      <c r="I143" s="1630"/>
      <c r="J143" s="2472">
        <f t="shared" si="77"/>
        <v>0</v>
      </c>
      <c r="K143" s="942">
        <f t="shared" si="78"/>
        <v>0</v>
      </c>
      <c r="L143" s="2473">
        <f t="shared" si="79"/>
        <v>0</v>
      </c>
      <c r="M143" s="320"/>
      <c r="N143" s="1629"/>
      <c r="O143" s="1627"/>
      <c r="P143" s="1628"/>
      <c r="Q143" s="978">
        <f t="shared" si="80"/>
        <v>0</v>
      </c>
      <c r="R143" s="1629"/>
      <c r="S143" s="1627"/>
      <c r="T143" s="1630"/>
      <c r="U143" s="2465">
        <f t="shared" si="74"/>
        <v>0</v>
      </c>
      <c r="V143" s="1630"/>
      <c r="W143" s="1627"/>
      <c r="X143" s="1632"/>
    </row>
    <row r="144" spans="1:24" ht="11.25" hidden="1" customHeight="1" x14ac:dyDescent="0.25">
      <c r="A144" s="1169">
        <f>'Org structure'!E140</f>
        <v>0</v>
      </c>
      <c r="B144" s="293"/>
      <c r="C144" s="1627"/>
      <c r="D144" s="1627"/>
      <c r="E144" s="1630"/>
      <c r="F144" s="1629"/>
      <c r="G144" s="1627"/>
      <c r="H144" s="1628"/>
      <c r="I144" s="1630"/>
      <c r="J144" s="2472">
        <f t="shared" si="77"/>
        <v>0</v>
      </c>
      <c r="K144" s="942">
        <f t="shared" si="78"/>
        <v>0</v>
      </c>
      <c r="L144" s="2473">
        <f t="shared" si="79"/>
        <v>0</v>
      </c>
      <c r="M144" s="320"/>
      <c r="N144" s="1629"/>
      <c r="O144" s="1627"/>
      <c r="P144" s="1628"/>
      <c r="Q144" s="978">
        <f t="shared" si="80"/>
        <v>0</v>
      </c>
      <c r="R144" s="1629"/>
      <c r="S144" s="1627"/>
      <c r="T144" s="1630"/>
      <c r="U144" s="2465">
        <f t="shared" si="74"/>
        <v>0</v>
      </c>
      <c r="V144" s="1630"/>
      <c r="W144" s="1627"/>
      <c r="X144" s="1632"/>
    </row>
    <row r="145" spans="1:24" ht="11.25" hidden="1" customHeight="1" x14ac:dyDescent="0.25">
      <c r="A145" s="1169">
        <f>'Org structure'!E141</f>
        <v>0</v>
      </c>
      <c r="B145" s="293"/>
      <c r="C145" s="1627"/>
      <c r="D145" s="1627"/>
      <c r="E145" s="1630"/>
      <c r="F145" s="1629"/>
      <c r="G145" s="1627"/>
      <c r="H145" s="1628"/>
      <c r="I145" s="1630"/>
      <c r="J145" s="2472">
        <f t="shared" si="77"/>
        <v>0</v>
      </c>
      <c r="K145" s="942">
        <f t="shared" si="78"/>
        <v>0</v>
      </c>
      <c r="L145" s="2473">
        <f t="shared" si="79"/>
        <v>0</v>
      </c>
      <c r="M145" s="320"/>
      <c r="N145" s="1629"/>
      <c r="O145" s="1627"/>
      <c r="P145" s="1628"/>
      <c r="Q145" s="978">
        <f t="shared" si="80"/>
        <v>0</v>
      </c>
      <c r="R145" s="1629"/>
      <c r="S145" s="1627"/>
      <c r="T145" s="1630"/>
      <c r="U145" s="2465">
        <f t="shared" si="74"/>
        <v>0</v>
      </c>
      <c r="V145" s="1630"/>
      <c r="W145" s="1627"/>
      <c r="X145" s="1632"/>
    </row>
    <row r="146" spans="1:24" ht="11.25" hidden="1" customHeight="1" x14ac:dyDescent="0.25">
      <c r="A146" s="1169">
        <f>'Org structure'!E142</f>
        <v>0</v>
      </c>
      <c r="B146" s="293"/>
      <c r="C146" s="1627"/>
      <c r="D146" s="1627"/>
      <c r="E146" s="1630"/>
      <c r="F146" s="1629"/>
      <c r="G146" s="1627"/>
      <c r="H146" s="1628"/>
      <c r="I146" s="1630"/>
      <c r="J146" s="2472">
        <f t="shared" si="77"/>
        <v>0</v>
      </c>
      <c r="K146" s="942">
        <f t="shared" si="78"/>
        <v>0</v>
      </c>
      <c r="L146" s="2473">
        <f t="shared" si="79"/>
        <v>0</v>
      </c>
      <c r="M146" s="320"/>
      <c r="N146" s="1629"/>
      <c r="O146" s="1627"/>
      <c r="P146" s="1628"/>
      <c r="Q146" s="978">
        <f t="shared" si="80"/>
        <v>0</v>
      </c>
      <c r="R146" s="1629"/>
      <c r="S146" s="1627"/>
      <c r="T146" s="1630"/>
      <c r="U146" s="2465">
        <f t="shared" si="74"/>
        <v>0</v>
      </c>
      <c r="V146" s="1630"/>
      <c r="W146" s="1627"/>
      <c r="X146" s="1632"/>
    </row>
    <row r="147" spans="1:24" ht="11.25" hidden="1" customHeight="1" x14ac:dyDescent="0.25">
      <c r="A147" s="1169">
        <f>'Org structure'!E143</f>
        <v>0</v>
      </c>
      <c r="B147" s="293"/>
      <c r="C147" s="1627"/>
      <c r="D147" s="1627"/>
      <c r="E147" s="1630"/>
      <c r="F147" s="1629"/>
      <c r="G147" s="1627"/>
      <c r="H147" s="1628"/>
      <c r="I147" s="1630"/>
      <c r="J147" s="2472">
        <f t="shared" si="77"/>
        <v>0</v>
      </c>
      <c r="K147" s="942">
        <f t="shared" si="78"/>
        <v>0</v>
      </c>
      <c r="L147" s="2473">
        <f t="shared" si="79"/>
        <v>0</v>
      </c>
      <c r="M147" s="320"/>
      <c r="N147" s="1629"/>
      <c r="O147" s="1627"/>
      <c r="P147" s="1628"/>
      <c r="Q147" s="978">
        <f t="shared" si="80"/>
        <v>0</v>
      </c>
      <c r="R147" s="1629"/>
      <c r="S147" s="1627"/>
      <c r="T147" s="1630"/>
      <c r="U147" s="2465">
        <f t="shared" si="74"/>
        <v>0</v>
      </c>
      <c r="V147" s="1630"/>
      <c r="W147" s="1627"/>
      <c r="X147" s="1632"/>
    </row>
    <row r="148" spans="1:24" ht="11.25" hidden="1" customHeight="1" x14ac:dyDescent="0.25">
      <c r="A148" s="1169">
        <f>'Org structure'!E144</f>
        <v>0</v>
      </c>
      <c r="B148" s="293"/>
      <c r="C148" s="1627"/>
      <c r="D148" s="1627"/>
      <c r="E148" s="1630"/>
      <c r="F148" s="1629"/>
      <c r="G148" s="1627"/>
      <c r="H148" s="1628"/>
      <c r="I148" s="1630"/>
      <c r="J148" s="2472">
        <f t="shared" si="77"/>
        <v>0</v>
      </c>
      <c r="K148" s="942">
        <f t="shared" si="78"/>
        <v>0</v>
      </c>
      <c r="L148" s="2473">
        <f t="shared" si="79"/>
        <v>0</v>
      </c>
      <c r="M148" s="320"/>
      <c r="N148" s="1629"/>
      <c r="O148" s="1627"/>
      <c r="P148" s="1628"/>
      <c r="Q148" s="978">
        <f t="shared" si="80"/>
        <v>0</v>
      </c>
      <c r="R148" s="1629"/>
      <c r="S148" s="1627"/>
      <c r="T148" s="1630"/>
      <c r="U148" s="2465">
        <f t="shared" si="74"/>
        <v>0</v>
      </c>
      <c r="V148" s="1630"/>
      <c r="W148" s="1627"/>
      <c r="X148" s="1632"/>
    </row>
    <row r="149" spans="1:24" ht="15" hidden="1" customHeight="1" x14ac:dyDescent="0.25">
      <c r="A149" s="1168" t="str">
        <f>'Org structure'!A15</f>
        <v>Vote 14 - [NAME OF VOTE 14]</v>
      </c>
      <c r="B149" s="293"/>
      <c r="C149" s="976">
        <f t="shared" ref="C149:L149" si="81">SUM(C150:C159)</f>
        <v>0</v>
      </c>
      <c r="D149" s="976">
        <f t="shared" si="81"/>
        <v>0</v>
      </c>
      <c r="E149" s="977">
        <f t="shared" si="81"/>
        <v>0</v>
      </c>
      <c r="F149" s="978">
        <f t="shared" si="81"/>
        <v>0</v>
      </c>
      <c r="G149" s="976">
        <f t="shared" si="81"/>
        <v>0</v>
      </c>
      <c r="H149" s="977">
        <f t="shared" si="81"/>
        <v>0</v>
      </c>
      <c r="I149" s="979">
        <f t="shared" si="81"/>
        <v>0</v>
      </c>
      <c r="J149" s="2472">
        <f t="shared" si="81"/>
        <v>0</v>
      </c>
      <c r="K149" s="942">
        <f t="shared" si="81"/>
        <v>0</v>
      </c>
      <c r="L149" s="2473">
        <f t="shared" si="81"/>
        <v>0</v>
      </c>
      <c r="M149" s="320"/>
      <c r="N149" s="978">
        <f t="shared" ref="N149:X149" si="82">SUM(N150:N159)</f>
        <v>0</v>
      </c>
      <c r="O149" s="976">
        <f t="shared" si="82"/>
        <v>0</v>
      </c>
      <c r="P149" s="977">
        <f t="shared" si="82"/>
        <v>0</v>
      </c>
      <c r="Q149" s="978">
        <f t="shared" si="82"/>
        <v>0</v>
      </c>
      <c r="R149" s="978">
        <f t="shared" si="82"/>
        <v>0</v>
      </c>
      <c r="S149" s="976">
        <f t="shared" si="82"/>
        <v>0</v>
      </c>
      <c r="T149" s="2469">
        <f t="shared" si="82"/>
        <v>0</v>
      </c>
      <c r="U149" s="2465">
        <f t="shared" si="82"/>
        <v>0</v>
      </c>
      <c r="V149" s="2470">
        <f t="shared" si="82"/>
        <v>0</v>
      </c>
      <c r="W149" s="976">
        <f t="shared" si="82"/>
        <v>0</v>
      </c>
      <c r="X149" s="2471">
        <f t="shared" si="82"/>
        <v>0</v>
      </c>
    </row>
    <row r="150" spans="1:24" ht="11.25" hidden="1" customHeight="1" x14ac:dyDescent="0.25">
      <c r="A150" s="1169" t="str">
        <f>'Org structure'!E146</f>
        <v>14.1 - [Name of sub-vote]</v>
      </c>
      <c r="B150" s="293"/>
      <c r="C150" s="1627"/>
      <c r="D150" s="1627"/>
      <c r="E150" s="1630"/>
      <c r="F150" s="1629"/>
      <c r="G150" s="1627"/>
      <c r="H150" s="1628"/>
      <c r="I150" s="1630"/>
      <c r="J150" s="2472">
        <f t="shared" ref="J150:J159" si="83">Q150+V150</f>
        <v>0</v>
      </c>
      <c r="K150" s="942">
        <f t="shared" ref="K150:K159" si="84">U150+W150</f>
        <v>0</v>
      </c>
      <c r="L150" s="2473">
        <f t="shared" ref="L150:L159" si="85">X150</f>
        <v>0</v>
      </c>
      <c r="M150" s="320"/>
      <c r="N150" s="1629"/>
      <c r="O150" s="1627"/>
      <c r="P150" s="1628"/>
      <c r="Q150" s="978">
        <f t="shared" ref="Q150:Q159" si="86">SUM(N150:P150)</f>
        <v>0</v>
      </c>
      <c r="R150" s="1629"/>
      <c r="S150" s="1627"/>
      <c r="T150" s="1630"/>
      <c r="U150" s="2465">
        <f t="shared" si="74"/>
        <v>0</v>
      </c>
      <c r="V150" s="1630"/>
      <c r="W150" s="1627"/>
      <c r="X150" s="1632"/>
    </row>
    <row r="151" spans="1:24" ht="11.25" hidden="1" customHeight="1" x14ac:dyDescent="0.25">
      <c r="A151" s="1169">
        <f>'Org structure'!E147</f>
        <v>0</v>
      </c>
      <c r="B151" s="293"/>
      <c r="C151" s="1627"/>
      <c r="D151" s="1627"/>
      <c r="E151" s="1630"/>
      <c r="F151" s="1629"/>
      <c r="G151" s="1627"/>
      <c r="H151" s="1628"/>
      <c r="I151" s="1630"/>
      <c r="J151" s="2472">
        <f t="shared" si="83"/>
        <v>0</v>
      </c>
      <c r="K151" s="942">
        <f t="shared" si="84"/>
        <v>0</v>
      </c>
      <c r="L151" s="2473">
        <f t="shared" si="85"/>
        <v>0</v>
      </c>
      <c r="M151" s="320"/>
      <c r="N151" s="1629"/>
      <c r="O151" s="1627"/>
      <c r="P151" s="1628"/>
      <c r="Q151" s="978">
        <f t="shared" si="86"/>
        <v>0</v>
      </c>
      <c r="R151" s="1629"/>
      <c r="S151" s="1627"/>
      <c r="T151" s="1630"/>
      <c r="U151" s="2465">
        <f t="shared" si="74"/>
        <v>0</v>
      </c>
      <c r="V151" s="1630"/>
      <c r="W151" s="1627"/>
      <c r="X151" s="1632"/>
    </row>
    <row r="152" spans="1:24" ht="11.25" hidden="1" customHeight="1" x14ac:dyDescent="0.25">
      <c r="A152" s="1169">
        <f>'Org structure'!E148</f>
        <v>0</v>
      </c>
      <c r="B152" s="293"/>
      <c r="C152" s="1627"/>
      <c r="D152" s="1627"/>
      <c r="E152" s="1630"/>
      <c r="F152" s="1629"/>
      <c r="G152" s="1627"/>
      <c r="H152" s="1628"/>
      <c r="I152" s="1630"/>
      <c r="J152" s="2472">
        <f t="shared" si="83"/>
        <v>0</v>
      </c>
      <c r="K152" s="942">
        <f t="shared" si="84"/>
        <v>0</v>
      </c>
      <c r="L152" s="2473">
        <f t="shared" si="85"/>
        <v>0</v>
      </c>
      <c r="M152" s="320"/>
      <c r="N152" s="1629"/>
      <c r="O152" s="1627"/>
      <c r="P152" s="1628"/>
      <c r="Q152" s="978">
        <f t="shared" si="86"/>
        <v>0</v>
      </c>
      <c r="R152" s="1629"/>
      <c r="S152" s="1627"/>
      <c r="T152" s="1630"/>
      <c r="U152" s="2465">
        <f t="shared" si="74"/>
        <v>0</v>
      </c>
      <c r="V152" s="1630"/>
      <c r="W152" s="1627"/>
      <c r="X152" s="1632"/>
    </row>
    <row r="153" spans="1:24" ht="11.25" hidden="1" customHeight="1" x14ac:dyDescent="0.25">
      <c r="A153" s="1169">
        <f>'Org structure'!E149</f>
        <v>0</v>
      </c>
      <c r="B153" s="293"/>
      <c r="C153" s="1627"/>
      <c r="D153" s="1627"/>
      <c r="E153" s="1630"/>
      <c r="F153" s="1629"/>
      <c r="G153" s="1627"/>
      <c r="H153" s="1628"/>
      <c r="I153" s="1630"/>
      <c r="J153" s="2472">
        <f t="shared" si="83"/>
        <v>0</v>
      </c>
      <c r="K153" s="942">
        <f t="shared" si="84"/>
        <v>0</v>
      </c>
      <c r="L153" s="2473">
        <f t="shared" si="85"/>
        <v>0</v>
      </c>
      <c r="M153" s="320"/>
      <c r="N153" s="1629"/>
      <c r="O153" s="1627"/>
      <c r="P153" s="1628"/>
      <c r="Q153" s="978">
        <f t="shared" si="86"/>
        <v>0</v>
      </c>
      <c r="R153" s="1629"/>
      <c r="S153" s="1627"/>
      <c r="T153" s="1630"/>
      <c r="U153" s="2465">
        <f t="shared" si="74"/>
        <v>0</v>
      </c>
      <c r="V153" s="1630"/>
      <c r="W153" s="1627"/>
      <c r="X153" s="1632"/>
    </row>
    <row r="154" spans="1:24" ht="11.25" hidden="1" customHeight="1" x14ac:dyDescent="0.25">
      <c r="A154" s="1169">
        <f>'Org structure'!E150</f>
        <v>0</v>
      </c>
      <c r="B154" s="293"/>
      <c r="C154" s="1627"/>
      <c r="D154" s="1627"/>
      <c r="E154" s="1630"/>
      <c r="F154" s="1629"/>
      <c r="G154" s="1627"/>
      <c r="H154" s="1628"/>
      <c r="I154" s="1630"/>
      <c r="J154" s="2472">
        <f t="shared" si="83"/>
        <v>0</v>
      </c>
      <c r="K154" s="942">
        <f t="shared" si="84"/>
        <v>0</v>
      </c>
      <c r="L154" s="2473">
        <f t="shared" si="85"/>
        <v>0</v>
      </c>
      <c r="M154" s="320"/>
      <c r="N154" s="1629"/>
      <c r="O154" s="1627"/>
      <c r="P154" s="1628"/>
      <c r="Q154" s="978">
        <f t="shared" si="86"/>
        <v>0</v>
      </c>
      <c r="R154" s="1629"/>
      <c r="S154" s="1627"/>
      <c r="T154" s="1630"/>
      <c r="U154" s="2465">
        <f t="shared" si="74"/>
        <v>0</v>
      </c>
      <c r="V154" s="1630"/>
      <c r="W154" s="1627"/>
      <c r="X154" s="1632"/>
    </row>
    <row r="155" spans="1:24" ht="11.25" hidden="1" customHeight="1" x14ac:dyDescent="0.25">
      <c r="A155" s="1169">
        <f>'Org structure'!E151</f>
        <v>0</v>
      </c>
      <c r="B155" s="293"/>
      <c r="C155" s="1627"/>
      <c r="D155" s="1627"/>
      <c r="E155" s="1630"/>
      <c r="F155" s="1629"/>
      <c r="G155" s="1627"/>
      <c r="H155" s="1628"/>
      <c r="I155" s="1630"/>
      <c r="J155" s="2472">
        <f t="shared" si="83"/>
        <v>0</v>
      </c>
      <c r="K155" s="942">
        <f t="shared" si="84"/>
        <v>0</v>
      </c>
      <c r="L155" s="2473">
        <f t="shared" si="85"/>
        <v>0</v>
      </c>
      <c r="M155" s="320"/>
      <c r="N155" s="1629"/>
      <c r="O155" s="1627"/>
      <c r="P155" s="1628"/>
      <c r="Q155" s="978">
        <f t="shared" si="86"/>
        <v>0</v>
      </c>
      <c r="R155" s="1629"/>
      <c r="S155" s="1627"/>
      <c r="T155" s="1630"/>
      <c r="U155" s="2465">
        <f t="shared" si="74"/>
        <v>0</v>
      </c>
      <c r="V155" s="1630"/>
      <c r="W155" s="1627"/>
      <c r="X155" s="1632"/>
    </row>
    <row r="156" spans="1:24" ht="11.25" hidden="1" customHeight="1" x14ac:dyDescent="0.25">
      <c r="A156" s="1169">
        <f>'Org structure'!E152</f>
        <v>0</v>
      </c>
      <c r="B156" s="293"/>
      <c r="C156" s="1627"/>
      <c r="D156" s="1627"/>
      <c r="E156" s="1630"/>
      <c r="F156" s="1629"/>
      <c r="G156" s="1627"/>
      <c r="H156" s="1628"/>
      <c r="I156" s="1630"/>
      <c r="J156" s="2472">
        <f t="shared" si="83"/>
        <v>0</v>
      </c>
      <c r="K156" s="942">
        <f t="shared" si="84"/>
        <v>0</v>
      </c>
      <c r="L156" s="2473">
        <f t="shared" si="85"/>
        <v>0</v>
      </c>
      <c r="M156" s="320"/>
      <c r="N156" s="1629"/>
      <c r="O156" s="1627"/>
      <c r="P156" s="1628"/>
      <c r="Q156" s="978">
        <f t="shared" si="86"/>
        <v>0</v>
      </c>
      <c r="R156" s="1629"/>
      <c r="S156" s="1627"/>
      <c r="T156" s="1630"/>
      <c r="U156" s="2465">
        <f t="shared" si="74"/>
        <v>0</v>
      </c>
      <c r="V156" s="1630"/>
      <c r="W156" s="1627"/>
      <c r="X156" s="1632"/>
    </row>
    <row r="157" spans="1:24" ht="11.25" hidden="1" customHeight="1" x14ac:dyDescent="0.25">
      <c r="A157" s="1169">
        <f>'Org structure'!E153</f>
        <v>0</v>
      </c>
      <c r="B157" s="293"/>
      <c r="C157" s="1627"/>
      <c r="D157" s="1627"/>
      <c r="E157" s="1630"/>
      <c r="F157" s="1629"/>
      <c r="G157" s="1627"/>
      <c r="H157" s="1628"/>
      <c r="I157" s="1630"/>
      <c r="J157" s="2472">
        <f t="shared" si="83"/>
        <v>0</v>
      </c>
      <c r="K157" s="942">
        <f t="shared" si="84"/>
        <v>0</v>
      </c>
      <c r="L157" s="2473">
        <f t="shared" si="85"/>
        <v>0</v>
      </c>
      <c r="M157" s="320"/>
      <c r="N157" s="1629"/>
      <c r="O157" s="1627"/>
      <c r="P157" s="1628"/>
      <c r="Q157" s="978">
        <f t="shared" si="86"/>
        <v>0</v>
      </c>
      <c r="R157" s="1629"/>
      <c r="S157" s="1627"/>
      <c r="T157" s="1630"/>
      <c r="U157" s="2465">
        <f t="shared" si="74"/>
        <v>0</v>
      </c>
      <c r="V157" s="1630"/>
      <c r="W157" s="1627"/>
      <c r="X157" s="1632"/>
    </row>
    <row r="158" spans="1:24" ht="11.25" hidden="1" customHeight="1" x14ac:dyDescent="0.25">
      <c r="A158" s="1169">
        <f>'Org structure'!E154</f>
        <v>0</v>
      </c>
      <c r="B158" s="293"/>
      <c r="C158" s="1627"/>
      <c r="D158" s="1627"/>
      <c r="E158" s="1630"/>
      <c r="F158" s="1629"/>
      <c r="G158" s="1627"/>
      <c r="H158" s="1628"/>
      <c r="I158" s="1630"/>
      <c r="J158" s="2472">
        <f t="shared" si="83"/>
        <v>0</v>
      </c>
      <c r="K158" s="942">
        <f t="shared" si="84"/>
        <v>0</v>
      </c>
      <c r="L158" s="2473">
        <f t="shared" si="85"/>
        <v>0</v>
      </c>
      <c r="M158" s="320"/>
      <c r="N158" s="1629"/>
      <c r="O158" s="1627"/>
      <c r="P158" s="1628"/>
      <c r="Q158" s="978">
        <f t="shared" si="86"/>
        <v>0</v>
      </c>
      <c r="R158" s="1629"/>
      <c r="S158" s="1627"/>
      <c r="T158" s="1630"/>
      <c r="U158" s="2465">
        <f t="shared" si="74"/>
        <v>0</v>
      </c>
      <c r="V158" s="1630"/>
      <c r="W158" s="1627"/>
      <c r="X158" s="1632"/>
    </row>
    <row r="159" spans="1:24" ht="11.25" hidden="1" customHeight="1" x14ac:dyDescent="0.25">
      <c r="A159" s="1169">
        <f>'Org structure'!E155</f>
        <v>0</v>
      </c>
      <c r="B159" s="293"/>
      <c r="C159" s="1627"/>
      <c r="D159" s="1627"/>
      <c r="E159" s="1630"/>
      <c r="F159" s="1629"/>
      <c r="G159" s="1627"/>
      <c r="H159" s="1628"/>
      <c r="I159" s="1630"/>
      <c r="J159" s="2472">
        <f t="shared" si="83"/>
        <v>0</v>
      </c>
      <c r="K159" s="942">
        <f t="shared" si="84"/>
        <v>0</v>
      </c>
      <c r="L159" s="2473">
        <f t="shared" si="85"/>
        <v>0</v>
      </c>
      <c r="M159" s="320"/>
      <c r="N159" s="1629"/>
      <c r="O159" s="1627"/>
      <c r="P159" s="1628"/>
      <c r="Q159" s="978">
        <f t="shared" si="86"/>
        <v>0</v>
      </c>
      <c r="R159" s="1629"/>
      <c r="S159" s="1627"/>
      <c r="T159" s="1630"/>
      <c r="U159" s="2465">
        <f t="shared" si="74"/>
        <v>0</v>
      </c>
      <c r="V159" s="1630"/>
      <c r="W159" s="1627"/>
      <c r="X159" s="1632"/>
    </row>
    <row r="160" spans="1:24" ht="15" hidden="1" customHeight="1" x14ac:dyDescent="0.25">
      <c r="A160" s="1168" t="str">
        <f>'Org structure'!A16</f>
        <v>Vote 15 - [NAME OF VOTE 15]</v>
      </c>
      <c r="B160" s="293"/>
      <c r="C160" s="976">
        <f t="shared" ref="C160:L160" si="87">SUM(C161:C170)</f>
        <v>0</v>
      </c>
      <c r="D160" s="976">
        <f t="shared" si="87"/>
        <v>0</v>
      </c>
      <c r="E160" s="977">
        <f t="shared" si="87"/>
        <v>0</v>
      </c>
      <c r="F160" s="978">
        <f t="shared" si="87"/>
        <v>0</v>
      </c>
      <c r="G160" s="976">
        <f t="shared" si="87"/>
        <v>0</v>
      </c>
      <c r="H160" s="977">
        <f t="shared" si="87"/>
        <v>0</v>
      </c>
      <c r="I160" s="979">
        <f t="shared" si="87"/>
        <v>0</v>
      </c>
      <c r="J160" s="2472">
        <f t="shared" si="87"/>
        <v>0</v>
      </c>
      <c r="K160" s="942">
        <f t="shared" si="87"/>
        <v>0</v>
      </c>
      <c r="L160" s="2473">
        <f t="shared" si="87"/>
        <v>0</v>
      </c>
      <c r="M160" s="320"/>
      <c r="N160" s="978">
        <f t="shared" ref="N160:X160" si="88">SUM(N161:N170)</f>
        <v>0</v>
      </c>
      <c r="O160" s="976">
        <f t="shared" si="88"/>
        <v>0</v>
      </c>
      <c r="P160" s="977">
        <f t="shared" si="88"/>
        <v>0</v>
      </c>
      <c r="Q160" s="978">
        <f t="shared" si="88"/>
        <v>0</v>
      </c>
      <c r="R160" s="978">
        <f t="shared" si="88"/>
        <v>0</v>
      </c>
      <c r="S160" s="976">
        <f t="shared" si="88"/>
        <v>0</v>
      </c>
      <c r="T160" s="2469">
        <f t="shared" si="88"/>
        <v>0</v>
      </c>
      <c r="U160" s="2465">
        <f t="shared" si="88"/>
        <v>0</v>
      </c>
      <c r="V160" s="2470">
        <f t="shared" si="88"/>
        <v>0</v>
      </c>
      <c r="W160" s="976">
        <f t="shared" si="88"/>
        <v>0</v>
      </c>
      <c r="X160" s="2471">
        <f t="shared" si="88"/>
        <v>0</v>
      </c>
    </row>
    <row r="161" spans="1:24" ht="11.25" hidden="1" customHeight="1" x14ac:dyDescent="0.25">
      <c r="A161" s="1169" t="str">
        <f>'Org structure'!E157</f>
        <v>15.1 - [Name of sub-vote]</v>
      </c>
      <c r="B161" s="293"/>
      <c r="C161" s="1627"/>
      <c r="D161" s="1627"/>
      <c r="E161" s="1630"/>
      <c r="F161" s="1629"/>
      <c r="G161" s="1627"/>
      <c r="H161" s="1628"/>
      <c r="I161" s="1630"/>
      <c r="J161" s="2472">
        <f t="shared" ref="J161:J170" si="89">Q161+V161</f>
        <v>0</v>
      </c>
      <c r="K161" s="942">
        <f t="shared" ref="K161:K170" si="90">U161+W161</f>
        <v>0</v>
      </c>
      <c r="L161" s="2473">
        <f t="shared" ref="L161:L170" si="91">X161</f>
        <v>0</v>
      </c>
      <c r="M161" s="320"/>
      <c r="N161" s="1629"/>
      <c r="O161" s="1627"/>
      <c r="P161" s="1628"/>
      <c r="Q161" s="978">
        <f t="shared" ref="Q161:Q170" si="92">SUM(N161:P161)</f>
        <v>0</v>
      </c>
      <c r="R161" s="1629"/>
      <c r="S161" s="1627"/>
      <c r="T161" s="1630"/>
      <c r="U161" s="2465">
        <f t="shared" si="74"/>
        <v>0</v>
      </c>
      <c r="V161" s="1630"/>
      <c r="W161" s="1627"/>
      <c r="X161" s="1632"/>
    </row>
    <row r="162" spans="1:24" ht="11.25" hidden="1" customHeight="1" x14ac:dyDescent="0.25">
      <c r="A162" s="1169">
        <f>'Org structure'!E158</f>
        <v>0</v>
      </c>
      <c r="B162" s="293"/>
      <c r="C162" s="1627"/>
      <c r="D162" s="1627"/>
      <c r="E162" s="1630"/>
      <c r="F162" s="1629"/>
      <c r="G162" s="1627"/>
      <c r="H162" s="1628"/>
      <c r="I162" s="1630"/>
      <c r="J162" s="2472">
        <f t="shared" si="89"/>
        <v>0</v>
      </c>
      <c r="K162" s="942">
        <f t="shared" si="90"/>
        <v>0</v>
      </c>
      <c r="L162" s="2473">
        <f t="shared" si="91"/>
        <v>0</v>
      </c>
      <c r="M162" s="320"/>
      <c r="N162" s="1629"/>
      <c r="O162" s="1627"/>
      <c r="P162" s="1628"/>
      <c r="Q162" s="978">
        <f t="shared" si="92"/>
        <v>0</v>
      </c>
      <c r="R162" s="1629"/>
      <c r="S162" s="1627"/>
      <c r="T162" s="1630"/>
      <c r="U162" s="2465">
        <f t="shared" si="74"/>
        <v>0</v>
      </c>
      <c r="V162" s="1630"/>
      <c r="W162" s="1627"/>
      <c r="X162" s="1632"/>
    </row>
    <row r="163" spans="1:24" ht="11.25" hidden="1" customHeight="1" x14ac:dyDescent="0.25">
      <c r="A163" s="1169">
        <f>'Org structure'!E159</f>
        <v>0</v>
      </c>
      <c r="B163" s="293"/>
      <c r="C163" s="1627"/>
      <c r="D163" s="1627"/>
      <c r="E163" s="1630"/>
      <c r="F163" s="1629"/>
      <c r="G163" s="1627"/>
      <c r="H163" s="1628"/>
      <c r="I163" s="1630"/>
      <c r="J163" s="2472">
        <f t="shared" si="89"/>
        <v>0</v>
      </c>
      <c r="K163" s="942">
        <f t="shared" si="90"/>
        <v>0</v>
      </c>
      <c r="L163" s="2473">
        <f t="shared" si="91"/>
        <v>0</v>
      </c>
      <c r="M163" s="320"/>
      <c r="N163" s="1629"/>
      <c r="O163" s="1627"/>
      <c r="P163" s="1628"/>
      <c r="Q163" s="978">
        <f t="shared" si="92"/>
        <v>0</v>
      </c>
      <c r="R163" s="1629"/>
      <c r="S163" s="1627"/>
      <c r="T163" s="1630"/>
      <c r="U163" s="2465">
        <f t="shared" si="74"/>
        <v>0</v>
      </c>
      <c r="V163" s="1630"/>
      <c r="W163" s="1627"/>
      <c r="X163" s="1632"/>
    </row>
    <row r="164" spans="1:24" ht="11.25" hidden="1" customHeight="1" x14ac:dyDescent="0.25">
      <c r="A164" s="1169">
        <f>'Org structure'!E160</f>
        <v>0</v>
      </c>
      <c r="B164" s="293"/>
      <c r="C164" s="1627"/>
      <c r="D164" s="1627"/>
      <c r="E164" s="1630"/>
      <c r="F164" s="1629"/>
      <c r="G164" s="1627"/>
      <c r="H164" s="1628"/>
      <c r="I164" s="1630"/>
      <c r="J164" s="2472">
        <f t="shared" si="89"/>
        <v>0</v>
      </c>
      <c r="K164" s="942">
        <f t="shared" si="90"/>
        <v>0</v>
      </c>
      <c r="L164" s="2473">
        <f t="shared" si="91"/>
        <v>0</v>
      </c>
      <c r="M164" s="320"/>
      <c r="N164" s="1629"/>
      <c r="O164" s="1627"/>
      <c r="P164" s="1628"/>
      <c r="Q164" s="978">
        <f t="shared" si="92"/>
        <v>0</v>
      </c>
      <c r="R164" s="1629"/>
      <c r="S164" s="1627"/>
      <c r="T164" s="1630"/>
      <c r="U164" s="2465">
        <f t="shared" si="74"/>
        <v>0</v>
      </c>
      <c r="V164" s="1630"/>
      <c r="W164" s="1627"/>
      <c r="X164" s="1632"/>
    </row>
    <row r="165" spans="1:24" ht="11.25" hidden="1" customHeight="1" x14ac:dyDescent="0.25">
      <c r="A165" s="1169">
        <f>'Org structure'!E161</f>
        <v>0</v>
      </c>
      <c r="B165" s="293"/>
      <c r="C165" s="1627"/>
      <c r="D165" s="1627"/>
      <c r="E165" s="1630"/>
      <c r="F165" s="1629"/>
      <c r="G165" s="1627"/>
      <c r="H165" s="1628"/>
      <c r="I165" s="1630"/>
      <c r="J165" s="2472">
        <f t="shared" si="89"/>
        <v>0</v>
      </c>
      <c r="K165" s="942">
        <f t="shared" si="90"/>
        <v>0</v>
      </c>
      <c r="L165" s="2473">
        <f t="shared" si="91"/>
        <v>0</v>
      </c>
      <c r="M165" s="320"/>
      <c r="N165" s="1629"/>
      <c r="O165" s="1627"/>
      <c r="P165" s="1628"/>
      <c r="Q165" s="978">
        <f t="shared" si="92"/>
        <v>0</v>
      </c>
      <c r="R165" s="1629"/>
      <c r="S165" s="1627"/>
      <c r="T165" s="1630"/>
      <c r="U165" s="2465">
        <f t="shared" si="74"/>
        <v>0</v>
      </c>
      <c r="V165" s="1630"/>
      <c r="W165" s="1627"/>
      <c r="X165" s="1632"/>
    </row>
    <row r="166" spans="1:24" ht="11.25" hidden="1" customHeight="1" x14ac:dyDescent="0.25">
      <c r="A166" s="1169">
        <f>'Org structure'!E162</f>
        <v>0</v>
      </c>
      <c r="B166" s="293"/>
      <c r="C166" s="1627"/>
      <c r="D166" s="1627"/>
      <c r="E166" s="1630"/>
      <c r="F166" s="1629"/>
      <c r="G166" s="1627"/>
      <c r="H166" s="1628"/>
      <c r="I166" s="1630"/>
      <c r="J166" s="2472">
        <f t="shared" si="89"/>
        <v>0</v>
      </c>
      <c r="K166" s="942">
        <f t="shared" si="90"/>
        <v>0</v>
      </c>
      <c r="L166" s="2473">
        <f t="shared" si="91"/>
        <v>0</v>
      </c>
      <c r="M166" s="320"/>
      <c r="N166" s="1629"/>
      <c r="O166" s="1627"/>
      <c r="P166" s="1628"/>
      <c r="Q166" s="978">
        <f t="shared" si="92"/>
        <v>0</v>
      </c>
      <c r="R166" s="1629"/>
      <c r="S166" s="1627"/>
      <c r="T166" s="1630"/>
      <c r="U166" s="2465">
        <f t="shared" si="74"/>
        <v>0</v>
      </c>
      <c r="V166" s="1630"/>
      <c r="W166" s="1627"/>
      <c r="X166" s="1632"/>
    </row>
    <row r="167" spans="1:24" ht="11.25" hidden="1" customHeight="1" x14ac:dyDescent="0.25">
      <c r="A167" s="1169">
        <f>'Org structure'!E163</f>
        <v>0</v>
      </c>
      <c r="B167" s="293"/>
      <c r="C167" s="1627"/>
      <c r="D167" s="1627"/>
      <c r="E167" s="1630"/>
      <c r="F167" s="1629"/>
      <c r="G167" s="1627"/>
      <c r="H167" s="1628"/>
      <c r="I167" s="1630"/>
      <c r="J167" s="2472">
        <f t="shared" si="89"/>
        <v>0</v>
      </c>
      <c r="K167" s="942">
        <f t="shared" si="90"/>
        <v>0</v>
      </c>
      <c r="L167" s="2473">
        <f t="shared" si="91"/>
        <v>0</v>
      </c>
      <c r="M167" s="320"/>
      <c r="N167" s="1629"/>
      <c r="O167" s="1627"/>
      <c r="P167" s="1628"/>
      <c r="Q167" s="978">
        <f t="shared" si="92"/>
        <v>0</v>
      </c>
      <c r="R167" s="1629"/>
      <c r="S167" s="1627"/>
      <c r="T167" s="1630"/>
      <c r="U167" s="2465">
        <f t="shared" si="74"/>
        <v>0</v>
      </c>
      <c r="V167" s="1630"/>
      <c r="W167" s="1627"/>
      <c r="X167" s="1632"/>
    </row>
    <row r="168" spans="1:24" ht="11.25" hidden="1" customHeight="1" x14ac:dyDescent="0.25">
      <c r="A168" s="1169">
        <f>'Org structure'!E164</f>
        <v>0</v>
      </c>
      <c r="B168" s="293"/>
      <c r="C168" s="1627"/>
      <c r="D168" s="1627"/>
      <c r="E168" s="1630"/>
      <c r="F168" s="1629"/>
      <c r="G168" s="1627"/>
      <c r="H168" s="1628"/>
      <c r="I168" s="1630"/>
      <c r="J168" s="2472">
        <f t="shared" si="89"/>
        <v>0</v>
      </c>
      <c r="K168" s="942">
        <f t="shared" si="90"/>
        <v>0</v>
      </c>
      <c r="L168" s="2473">
        <f t="shared" si="91"/>
        <v>0</v>
      </c>
      <c r="M168" s="320"/>
      <c r="N168" s="1629"/>
      <c r="O168" s="1627"/>
      <c r="P168" s="1628"/>
      <c r="Q168" s="978">
        <f t="shared" si="92"/>
        <v>0</v>
      </c>
      <c r="R168" s="1629"/>
      <c r="S168" s="1627"/>
      <c r="T168" s="1630"/>
      <c r="U168" s="2465">
        <f t="shared" si="74"/>
        <v>0</v>
      </c>
      <c r="V168" s="1630"/>
      <c r="W168" s="1627"/>
      <c r="X168" s="1632"/>
    </row>
    <row r="169" spans="1:24" ht="11.25" hidden="1" customHeight="1" x14ac:dyDescent="0.25">
      <c r="A169" s="1169">
        <f>'Org structure'!E165</f>
        <v>0</v>
      </c>
      <c r="B169" s="293"/>
      <c r="C169" s="1627"/>
      <c r="D169" s="1627"/>
      <c r="E169" s="1630"/>
      <c r="F169" s="1629"/>
      <c r="G169" s="1627"/>
      <c r="H169" s="1628"/>
      <c r="I169" s="1630"/>
      <c r="J169" s="2472">
        <f t="shared" si="89"/>
        <v>0</v>
      </c>
      <c r="K169" s="942">
        <f t="shared" si="90"/>
        <v>0</v>
      </c>
      <c r="L169" s="2473">
        <f t="shared" si="91"/>
        <v>0</v>
      </c>
      <c r="M169" s="320"/>
      <c r="N169" s="1629"/>
      <c r="O169" s="1627"/>
      <c r="P169" s="1628"/>
      <c r="Q169" s="978">
        <f t="shared" si="92"/>
        <v>0</v>
      </c>
      <c r="R169" s="1629"/>
      <c r="S169" s="1627"/>
      <c r="T169" s="1630"/>
      <c r="U169" s="2465">
        <f t="shared" si="74"/>
        <v>0</v>
      </c>
      <c r="V169" s="1630"/>
      <c r="W169" s="1627"/>
      <c r="X169" s="1632"/>
    </row>
    <row r="170" spans="1:24" ht="11.25" hidden="1" customHeight="1" x14ac:dyDescent="0.25">
      <c r="A170" s="1169">
        <f>'Org structure'!E166</f>
        <v>0</v>
      </c>
      <c r="B170" s="293"/>
      <c r="C170" s="1627"/>
      <c r="D170" s="1627"/>
      <c r="E170" s="1630"/>
      <c r="F170" s="1629"/>
      <c r="G170" s="1627"/>
      <c r="H170" s="1628"/>
      <c r="I170" s="1630"/>
      <c r="J170" s="2472">
        <f t="shared" si="89"/>
        <v>0</v>
      </c>
      <c r="K170" s="942">
        <f t="shared" si="90"/>
        <v>0</v>
      </c>
      <c r="L170" s="2473">
        <f t="shared" si="91"/>
        <v>0</v>
      </c>
      <c r="M170" s="320"/>
      <c r="N170" s="1629"/>
      <c r="O170" s="1627"/>
      <c r="P170" s="1628"/>
      <c r="Q170" s="978">
        <f t="shared" si="92"/>
        <v>0</v>
      </c>
      <c r="R170" s="1629"/>
      <c r="S170" s="1627"/>
      <c r="T170" s="1630"/>
      <c r="U170" s="2465">
        <f t="shared" si="74"/>
        <v>0</v>
      </c>
      <c r="V170" s="1630"/>
      <c r="W170" s="1627"/>
      <c r="X170" s="1632"/>
    </row>
    <row r="171" spans="1:24" x14ac:dyDescent="0.25">
      <c r="A171" s="197" t="s">
        <v>196</v>
      </c>
      <c r="B171" s="293"/>
      <c r="C171" s="198">
        <f>C6+C17+C28+C39+C50+C61+C72+C83+C94+C105+C116+C127+C138+C149+C160</f>
        <v>176033492</v>
      </c>
      <c r="D171" s="198">
        <f t="shared" ref="D171:L171" si="93">D6+D17+D28+D39+D50+D61+D72+D83+D94+D105+D116+D127+D138+D149+D160</f>
        <v>111148753.28</v>
      </c>
      <c r="E171" s="1566">
        <f t="shared" si="93"/>
        <v>223563286.09999996</v>
      </c>
      <c r="F171" s="1565">
        <f t="shared" si="93"/>
        <v>195932230</v>
      </c>
      <c r="G171" s="198">
        <f t="shared" si="93"/>
        <v>177944020</v>
      </c>
      <c r="H171" s="1566">
        <f t="shared" si="93"/>
        <v>177944020</v>
      </c>
      <c r="I171" s="2468">
        <f t="shared" si="93"/>
        <v>177944020</v>
      </c>
      <c r="J171" s="2474">
        <f t="shared" si="93"/>
        <v>408296853</v>
      </c>
      <c r="K171" s="1352">
        <f t="shared" si="93"/>
        <v>207921000</v>
      </c>
      <c r="L171" s="2475">
        <f t="shared" si="93"/>
        <v>188200000</v>
      </c>
      <c r="M171" s="370"/>
      <c r="N171" s="2466">
        <f t="shared" ref="N171:U171" si="94">N6+N17+N28+N39+N50+N61+N72+N83+N94+N105+N116+N127+N138+N149+N160</f>
        <v>0</v>
      </c>
      <c r="O171" s="198">
        <f t="shared" si="94"/>
        <v>0</v>
      </c>
      <c r="P171" s="1566">
        <f t="shared" si="94"/>
        <v>0</v>
      </c>
      <c r="Q171" s="2478">
        <f t="shared" si="94"/>
        <v>0</v>
      </c>
      <c r="R171" s="2466">
        <f t="shared" si="94"/>
        <v>0</v>
      </c>
      <c r="S171" s="198">
        <f t="shared" si="94"/>
        <v>0</v>
      </c>
      <c r="T171" s="2467"/>
      <c r="U171" s="1567">
        <f t="shared" si="94"/>
        <v>0</v>
      </c>
      <c r="V171" s="1565">
        <f>V6+V17+V28+V39+V50+V61+V72+V83+V94+V105+V116+V127+V138+V149+V160</f>
        <v>408296853</v>
      </c>
      <c r="W171" s="198">
        <f>W6+W17+W28+W39+W50+W61+W72+W83+W94+W105+W116+W127+W138+W149+W160</f>
        <v>207921000</v>
      </c>
      <c r="X171" s="1566">
        <f>SUM(X6+X17+X28+X39)</f>
        <v>188200000</v>
      </c>
    </row>
    <row r="172" spans="1:24" ht="5.15" customHeight="1" x14ac:dyDescent="0.25">
      <c r="A172" s="336"/>
      <c r="B172" s="347"/>
      <c r="C172" s="433"/>
      <c r="D172" s="1023"/>
      <c r="E172" s="436"/>
      <c r="F172" s="435"/>
      <c r="G172" s="433"/>
      <c r="H172" s="434"/>
      <c r="I172" s="436"/>
      <c r="J172" s="435"/>
      <c r="K172" s="433"/>
      <c r="L172" s="434"/>
      <c r="M172" s="370"/>
      <c r="N172" s="435"/>
      <c r="O172" s="433"/>
      <c r="P172" s="434"/>
      <c r="Q172" s="436"/>
      <c r="R172" s="435"/>
      <c r="S172" s="433"/>
      <c r="T172" s="436"/>
      <c r="U172" s="2084"/>
      <c r="V172" s="436"/>
      <c r="W172" s="433"/>
      <c r="X172" s="434"/>
    </row>
    <row r="173" spans="1:24" ht="11.25" customHeight="1" x14ac:dyDescent="0.25">
      <c r="A173" s="181" t="s">
        <v>1805</v>
      </c>
      <c r="B173" s="291"/>
      <c r="C173" s="311"/>
      <c r="D173" s="311"/>
      <c r="E173" s="312"/>
      <c r="F173" s="313"/>
      <c r="G173" s="311"/>
      <c r="H173" s="314"/>
      <c r="I173" s="312"/>
      <c r="J173" s="313"/>
      <c r="K173" s="311"/>
      <c r="L173" s="314"/>
      <c r="M173" s="370"/>
    </row>
    <row r="174" spans="1:24" ht="11.25" customHeight="1" x14ac:dyDescent="0.25">
      <c r="A174" s="181" t="s">
        <v>1032</v>
      </c>
      <c r="B174" s="293">
        <v>2</v>
      </c>
      <c r="C174" s="315"/>
      <c r="D174" s="315"/>
      <c r="E174" s="316"/>
      <c r="F174" s="317"/>
      <c r="G174" s="315"/>
      <c r="H174" s="318"/>
      <c r="I174" s="316"/>
      <c r="J174" s="317"/>
      <c r="K174" s="315"/>
      <c r="L174" s="318"/>
      <c r="M174" s="1554"/>
    </row>
    <row r="175" spans="1:24" ht="15" customHeight="1" x14ac:dyDescent="0.25">
      <c r="A175" s="1168" t="str">
        <f>A6</f>
        <v xml:space="preserve">Vote 1 - Corporate Services </v>
      </c>
      <c r="B175" s="981"/>
      <c r="C175" s="976">
        <f t="shared" ref="C175:L175" si="95">SUM(C176:C185)</f>
        <v>0</v>
      </c>
      <c r="D175" s="976">
        <f t="shared" si="95"/>
        <v>0</v>
      </c>
      <c r="E175" s="977">
        <f t="shared" si="95"/>
        <v>0</v>
      </c>
      <c r="F175" s="978">
        <f t="shared" si="95"/>
        <v>5150000</v>
      </c>
      <c r="G175" s="976">
        <f t="shared" si="95"/>
        <v>12782268</v>
      </c>
      <c r="H175" s="977">
        <f t="shared" si="95"/>
        <v>12782268</v>
      </c>
      <c r="I175" s="943">
        <f t="shared" si="95"/>
        <v>12782268</v>
      </c>
      <c r="J175" s="978">
        <v>3100000</v>
      </c>
      <c r="K175" s="976">
        <f t="shared" si="95"/>
        <v>0</v>
      </c>
      <c r="L175" s="977">
        <f t="shared" si="95"/>
        <v>0</v>
      </c>
      <c r="M175" s="1554"/>
    </row>
    <row r="176" spans="1:24" ht="11.25" customHeight="1" x14ac:dyDescent="0.25">
      <c r="A176" s="1168" t="str">
        <f t="shared" ref="A176:A239" si="96">A7</f>
        <v>1.1 - Council and Committee Support</v>
      </c>
      <c r="B176" s="293"/>
      <c r="C176" s="1627"/>
      <c r="D176" s="1627"/>
      <c r="E176" s="1634"/>
      <c r="F176" s="1629">
        <v>4150000</v>
      </c>
      <c r="G176" s="1053">
        <v>4395000</v>
      </c>
      <c r="H176" s="1053">
        <v>4395000</v>
      </c>
      <c r="I176" s="1053">
        <v>4395000</v>
      </c>
      <c r="J176" s="1629">
        <v>3100000</v>
      </c>
      <c r="K176" s="1627"/>
      <c r="L176" s="1628"/>
      <c r="M176" s="1554"/>
    </row>
    <row r="177" spans="1:13" ht="11.25" customHeight="1" x14ac:dyDescent="0.25">
      <c r="A177" s="1168" t="str">
        <f t="shared" si="96"/>
        <v>1.2 - Enterprise  Wide Risk Management &amp; Audit and Compliance</v>
      </c>
      <c r="B177" s="293"/>
      <c r="C177" s="1627"/>
      <c r="D177" s="1627"/>
      <c r="E177" s="1628"/>
      <c r="F177" s="1629">
        <v>0</v>
      </c>
      <c r="G177" s="1053">
        <v>0</v>
      </c>
      <c r="H177" s="1053">
        <v>0</v>
      </c>
      <c r="I177" s="1053">
        <v>0</v>
      </c>
      <c r="J177" s="1629"/>
      <c r="K177" s="1627"/>
      <c r="L177" s="1628"/>
      <c r="M177" s="1554"/>
    </row>
    <row r="178" spans="1:13" ht="11.25" customHeight="1" x14ac:dyDescent="0.25">
      <c r="A178" s="1168" t="str">
        <f t="shared" si="96"/>
        <v>1.3 - Human Resources Management</v>
      </c>
      <c r="B178" s="293"/>
      <c r="C178" s="1627"/>
      <c r="D178" s="1627"/>
      <c r="E178" s="1628"/>
      <c r="F178" s="1629">
        <v>0</v>
      </c>
      <c r="G178" s="1053">
        <v>0</v>
      </c>
      <c r="H178" s="1053">
        <v>0</v>
      </c>
      <c r="I178" s="1053">
        <v>0</v>
      </c>
      <c r="J178" s="1629"/>
      <c r="K178" s="1627"/>
      <c r="L178" s="1628"/>
      <c r="M178" s="1554"/>
    </row>
    <row r="179" spans="1:13" ht="11.25" customHeight="1" x14ac:dyDescent="0.25">
      <c r="A179" s="1168" t="str">
        <f t="shared" si="96"/>
        <v>1.4 - Legislative Compliance</v>
      </c>
      <c r="B179" s="293"/>
      <c r="C179" s="1627"/>
      <c r="D179" s="1627"/>
      <c r="E179" s="1628"/>
      <c r="F179" s="1629">
        <v>0</v>
      </c>
      <c r="G179" s="1053">
        <v>0</v>
      </c>
      <c r="H179" s="1053">
        <v>0</v>
      </c>
      <c r="I179" s="1053">
        <v>0</v>
      </c>
      <c r="J179" s="1629"/>
      <c r="K179" s="1627"/>
      <c r="L179" s="1628"/>
      <c r="M179" s="1554"/>
    </row>
    <row r="180" spans="1:13" ht="11.25" customHeight="1" x14ac:dyDescent="0.25">
      <c r="A180" s="1168" t="str">
        <f t="shared" si="96"/>
        <v>1.5 - Local Economic Development Management</v>
      </c>
      <c r="B180" s="293"/>
      <c r="C180" s="1627"/>
      <c r="D180" s="1627"/>
      <c r="E180" s="1628"/>
      <c r="F180" s="1629">
        <v>1000000</v>
      </c>
      <c r="G180" s="1053">
        <v>7987268</v>
      </c>
      <c r="H180" s="1053">
        <v>7987268</v>
      </c>
      <c r="I180" s="1053">
        <v>7987268</v>
      </c>
      <c r="J180" s="1629"/>
      <c r="K180" s="1627"/>
      <c r="L180" s="1628"/>
      <c r="M180" s="1554"/>
    </row>
    <row r="181" spans="1:13" ht="11.25" customHeight="1" x14ac:dyDescent="0.25">
      <c r="A181" s="1168" t="str">
        <f t="shared" si="96"/>
        <v>1.6 - Management Information Services</v>
      </c>
      <c r="B181" s="293"/>
      <c r="C181" s="1627"/>
      <c r="D181" s="1627"/>
      <c r="E181" s="1628"/>
      <c r="F181" s="1629">
        <v>0</v>
      </c>
      <c r="G181" s="1053">
        <v>400000</v>
      </c>
      <c r="H181" s="1053">
        <v>400000</v>
      </c>
      <c r="I181" s="1053">
        <v>400000</v>
      </c>
      <c r="J181" s="1629"/>
      <c r="K181" s="1627"/>
      <c r="L181" s="1628"/>
      <c r="M181" s="1554"/>
    </row>
    <row r="182" spans="1:13" ht="11.25" customHeight="1" x14ac:dyDescent="0.25">
      <c r="A182" s="1168" t="str">
        <f t="shared" si="96"/>
        <v>1.7 - Marketing and Public Relations Management</v>
      </c>
      <c r="B182" s="293"/>
      <c r="C182" s="1627"/>
      <c r="D182" s="1627"/>
      <c r="E182" s="1628"/>
      <c r="F182" s="1629">
        <v>0</v>
      </c>
      <c r="G182" s="1053">
        <v>0</v>
      </c>
      <c r="H182" s="1053">
        <v>0</v>
      </c>
      <c r="I182" s="1053">
        <v>0</v>
      </c>
      <c r="J182" s="1629"/>
      <c r="K182" s="1627"/>
      <c r="L182" s="1628"/>
      <c r="M182" s="1554"/>
    </row>
    <row r="183" spans="1:13" ht="11.25" customHeight="1" x14ac:dyDescent="0.25">
      <c r="A183" s="1168">
        <f t="shared" si="96"/>
        <v>0</v>
      </c>
      <c r="B183" s="293"/>
      <c r="C183" s="1627"/>
      <c r="D183" s="1627"/>
      <c r="E183" s="1628"/>
      <c r="F183" s="1629"/>
      <c r="G183" s="1053">
        <v>0</v>
      </c>
      <c r="H183" s="1053">
        <v>0</v>
      </c>
      <c r="I183" s="1053">
        <v>0</v>
      </c>
      <c r="J183" s="1629"/>
      <c r="K183" s="1627"/>
      <c r="L183" s="1628"/>
      <c r="M183" s="1554"/>
    </row>
    <row r="184" spans="1:13" ht="11.25" customHeight="1" x14ac:dyDescent="0.25">
      <c r="A184" s="1168">
        <f t="shared" si="96"/>
        <v>0</v>
      </c>
      <c r="B184" s="293"/>
      <c r="C184" s="1627"/>
      <c r="D184" s="1627"/>
      <c r="E184" s="1628"/>
      <c r="F184" s="1629"/>
      <c r="G184" s="1627"/>
      <c r="H184" s="1627"/>
      <c r="I184" s="1627"/>
      <c r="J184" s="1629"/>
      <c r="K184" s="1627"/>
      <c r="L184" s="1628"/>
      <c r="M184" s="1554"/>
    </row>
    <row r="185" spans="1:13" ht="11.25" customHeight="1" x14ac:dyDescent="0.25">
      <c r="A185" s="1168">
        <f t="shared" si="96"/>
        <v>0</v>
      </c>
      <c r="B185" s="293"/>
      <c r="C185" s="1627"/>
      <c r="D185" s="1627"/>
      <c r="E185" s="1628"/>
      <c r="F185" s="1629"/>
      <c r="G185" s="1627"/>
      <c r="H185" s="1627"/>
      <c r="I185" s="1627"/>
      <c r="J185" s="1629"/>
      <c r="K185" s="1627"/>
      <c r="L185" s="1628"/>
      <c r="M185" s="1554"/>
    </row>
    <row r="186" spans="1:13" ht="15" customHeight="1" x14ac:dyDescent="0.25">
      <c r="A186" s="1168" t="str">
        <f t="shared" si="96"/>
        <v>Vote 2 - Financial Management Area</v>
      </c>
      <c r="B186" s="981"/>
      <c r="C186" s="976">
        <f t="shared" ref="C186:L186" si="97">SUM(C187:C196)</f>
        <v>0</v>
      </c>
      <c r="D186" s="976">
        <f t="shared" si="97"/>
        <v>0</v>
      </c>
      <c r="E186" s="977">
        <f t="shared" si="97"/>
        <v>0</v>
      </c>
      <c r="F186" s="978">
        <f t="shared" si="97"/>
        <v>0</v>
      </c>
      <c r="G186" s="976">
        <f t="shared" si="97"/>
        <v>3423760</v>
      </c>
      <c r="H186" s="977">
        <f t="shared" si="97"/>
        <v>3423760</v>
      </c>
      <c r="I186" s="979">
        <f t="shared" si="97"/>
        <v>3423760</v>
      </c>
      <c r="J186" s="978">
        <f t="shared" si="97"/>
        <v>7000000</v>
      </c>
      <c r="K186" s="976">
        <f t="shared" si="97"/>
        <v>12000000</v>
      </c>
      <c r="L186" s="977">
        <f t="shared" si="97"/>
        <v>13000000</v>
      </c>
      <c r="M186" s="1554"/>
    </row>
    <row r="187" spans="1:13" ht="11.25" customHeight="1" x14ac:dyDescent="0.25">
      <c r="A187" s="1168" t="str">
        <f t="shared" si="96"/>
        <v>2.1 - Budget &amp; Treasury Management</v>
      </c>
      <c r="B187" s="293"/>
      <c r="C187" s="1627"/>
      <c r="D187" s="1627"/>
      <c r="E187" s="1628"/>
      <c r="F187" s="1629"/>
      <c r="G187" s="1053">
        <v>0</v>
      </c>
      <c r="H187" s="1053">
        <v>0</v>
      </c>
      <c r="I187" s="1053">
        <v>0</v>
      </c>
      <c r="J187" s="1629"/>
      <c r="K187" s="1627"/>
      <c r="L187" s="1628"/>
      <c r="M187" s="1554"/>
    </row>
    <row r="188" spans="1:13" ht="11.25" customHeight="1" x14ac:dyDescent="0.25">
      <c r="A188" s="1168" t="str">
        <f t="shared" si="96"/>
        <v>2.2 - Expenditure Management</v>
      </c>
      <c r="B188" s="293"/>
      <c r="C188" s="1627"/>
      <c r="D188" s="1627"/>
      <c r="E188" s="1628"/>
      <c r="F188" s="1629"/>
      <c r="G188" s="1053">
        <v>0</v>
      </c>
      <c r="H188" s="1053">
        <v>0</v>
      </c>
      <c r="I188" s="1053">
        <v>0</v>
      </c>
      <c r="J188" s="1629"/>
      <c r="K188" s="1627"/>
      <c r="L188" s="1628"/>
      <c r="M188" s="1554"/>
    </row>
    <row r="189" spans="1:13" ht="11.25" customHeight="1" x14ac:dyDescent="0.25">
      <c r="A189" s="1168" t="str">
        <f t="shared" si="96"/>
        <v>2.3 - Financial Control and Cash Management</v>
      </c>
      <c r="B189" s="293"/>
      <c r="C189" s="1627"/>
      <c r="D189" s="1627"/>
      <c r="E189" s="1628"/>
      <c r="F189" s="1629"/>
      <c r="G189" s="1053">
        <v>3403760</v>
      </c>
      <c r="H189" s="1053">
        <v>3403760</v>
      </c>
      <c r="I189" s="1053">
        <v>3403760</v>
      </c>
      <c r="J189" s="1629">
        <f>11000000-4000000</f>
        <v>7000000</v>
      </c>
      <c r="K189" s="1627">
        <v>12000000</v>
      </c>
      <c r="L189" s="1628">
        <v>13000000</v>
      </c>
      <c r="M189" s="1554"/>
    </row>
    <row r="190" spans="1:13" ht="11.25" customHeight="1" x14ac:dyDescent="0.25">
      <c r="A190" s="1168" t="str">
        <f t="shared" si="96"/>
        <v>2.4 - Revenue Management</v>
      </c>
      <c r="B190" s="293"/>
      <c r="C190" s="1627"/>
      <c r="D190" s="1627"/>
      <c r="E190" s="1628"/>
      <c r="F190" s="1629"/>
      <c r="G190" s="1053">
        <v>20000</v>
      </c>
      <c r="H190" s="1053">
        <v>20000</v>
      </c>
      <c r="I190" s="1053">
        <v>20000</v>
      </c>
      <c r="J190" s="1629"/>
      <c r="K190" s="1627"/>
      <c r="L190" s="1628"/>
      <c r="M190" s="1554"/>
    </row>
    <row r="191" spans="1:13" ht="11.25" customHeight="1" x14ac:dyDescent="0.25">
      <c r="A191" s="1168" t="str">
        <f t="shared" si="96"/>
        <v>2.5 - Supply Chain Management</v>
      </c>
      <c r="B191" s="293"/>
      <c r="C191" s="1627"/>
      <c r="D191" s="1627"/>
      <c r="E191" s="1628"/>
      <c r="F191" s="1629"/>
      <c r="G191" s="1053">
        <v>0</v>
      </c>
      <c r="H191" s="1053">
        <v>0</v>
      </c>
      <c r="I191" s="1053">
        <v>0</v>
      </c>
      <c r="J191" s="1629"/>
      <c r="K191" s="1627"/>
      <c r="L191" s="1628"/>
      <c r="M191" s="1554"/>
    </row>
    <row r="192" spans="1:13" ht="11.25" customHeight="1" x14ac:dyDescent="0.25">
      <c r="A192" s="1168">
        <f t="shared" si="96"/>
        <v>0</v>
      </c>
      <c r="B192" s="293"/>
      <c r="C192" s="1627"/>
      <c r="D192" s="1627"/>
      <c r="E192" s="1628"/>
      <c r="F192" s="1629"/>
      <c r="G192" s="1053">
        <v>0</v>
      </c>
      <c r="H192" s="1053">
        <v>0</v>
      </c>
      <c r="I192" s="1053">
        <v>0</v>
      </c>
      <c r="J192" s="1629"/>
      <c r="K192" s="1627"/>
      <c r="L192" s="1628"/>
      <c r="M192" s="1554"/>
    </row>
    <row r="193" spans="1:13" ht="11.25" customHeight="1" x14ac:dyDescent="0.25">
      <c r="A193" s="1168">
        <f t="shared" si="96"/>
        <v>0</v>
      </c>
      <c r="B193" s="293"/>
      <c r="C193" s="1627"/>
      <c r="D193" s="1627"/>
      <c r="E193" s="1628"/>
      <c r="F193" s="1629"/>
      <c r="G193" s="1627"/>
      <c r="H193" s="1627"/>
      <c r="I193" s="1627"/>
      <c r="J193" s="1629"/>
      <c r="K193" s="1627"/>
      <c r="L193" s="1628"/>
      <c r="M193" s="1554"/>
    </row>
    <row r="194" spans="1:13" ht="12.5" x14ac:dyDescent="0.25">
      <c r="A194" s="1168">
        <f t="shared" si="96"/>
        <v>0</v>
      </c>
      <c r="B194" s="293"/>
      <c r="C194" s="1627"/>
      <c r="D194" s="1627"/>
      <c r="E194" s="1628"/>
      <c r="F194" s="1629"/>
      <c r="G194" s="1627"/>
      <c r="H194" s="1627"/>
      <c r="I194" s="1627"/>
      <c r="J194" s="1629"/>
      <c r="K194" s="1627"/>
      <c r="L194" s="1628"/>
      <c r="M194" s="1554"/>
    </row>
    <row r="195" spans="1:13" ht="11.25" customHeight="1" x14ac:dyDescent="0.25">
      <c r="A195" s="1168">
        <f t="shared" si="96"/>
        <v>0</v>
      </c>
      <c r="B195" s="293"/>
      <c r="C195" s="1627"/>
      <c r="D195" s="1627"/>
      <c r="E195" s="1628"/>
      <c r="F195" s="1629"/>
      <c r="G195" s="1627"/>
      <c r="H195" s="1627"/>
      <c r="I195" s="1627"/>
      <c r="J195" s="1629"/>
      <c r="K195" s="1627"/>
      <c r="L195" s="1628"/>
      <c r="M195" s="1554"/>
    </row>
    <row r="196" spans="1:13" ht="11.25" customHeight="1" x14ac:dyDescent="0.25">
      <c r="A196" s="1168">
        <f t="shared" si="96"/>
        <v>0</v>
      </c>
      <c r="B196" s="293"/>
      <c r="C196" s="1627"/>
      <c r="D196" s="1627"/>
      <c r="E196" s="1628"/>
      <c r="F196" s="1629"/>
      <c r="G196" s="1627"/>
      <c r="H196" s="1627"/>
      <c r="I196" s="1627"/>
      <c r="J196" s="1629"/>
      <c r="K196" s="1627"/>
      <c r="L196" s="1628"/>
      <c r="M196" s="1554"/>
    </row>
    <row r="197" spans="1:13" ht="15" customHeight="1" x14ac:dyDescent="0.25">
      <c r="A197" s="1168" t="str">
        <f t="shared" si="96"/>
        <v>Vote 3 - Infrastructure Development, Service Delivery and Maintenance Management</v>
      </c>
      <c r="B197" s="981"/>
      <c r="C197" s="976">
        <f t="shared" ref="C197:L197" si="98">SUM(C198:C207)</f>
        <v>0</v>
      </c>
      <c r="D197" s="976">
        <f t="shared" si="98"/>
        <v>0</v>
      </c>
      <c r="E197" s="977">
        <f t="shared" si="98"/>
        <v>0</v>
      </c>
      <c r="F197" s="978">
        <f t="shared" si="98"/>
        <v>15635960</v>
      </c>
      <c r="G197" s="976">
        <f t="shared" si="98"/>
        <v>92993023</v>
      </c>
      <c r="H197" s="977">
        <f t="shared" si="98"/>
        <v>92993023</v>
      </c>
      <c r="I197" s="979">
        <f t="shared" si="98"/>
        <v>92993023</v>
      </c>
      <c r="J197" s="978">
        <f t="shared" si="98"/>
        <v>48951655</v>
      </c>
      <c r="K197" s="976">
        <f t="shared" si="98"/>
        <v>31550000</v>
      </c>
      <c r="L197" s="977">
        <f t="shared" si="98"/>
        <v>39990000</v>
      </c>
      <c r="M197" s="1554"/>
    </row>
    <row r="198" spans="1:13" ht="11.25" customHeight="1" x14ac:dyDescent="0.25">
      <c r="A198" s="1168" t="str">
        <f t="shared" si="96"/>
        <v>3.1 - Electricity distribution Management</v>
      </c>
      <c r="B198" s="293"/>
      <c r="C198" s="1627"/>
      <c r="D198" s="1627"/>
      <c r="E198" s="1628"/>
      <c r="F198" s="1629">
        <v>9082960</v>
      </c>
      <c r="G198" s="1053">
        <v>88940023</v>
      </c>
      <c r="H198" s="1053">
        <v>88940023</v>
      </c>
      <c r="I198" s="1053">
        <v>88940023</v>
      </c>
      <c r="J198" s="1629">
        <v>8000000</v>
      </c>
      <c r="K198" s="1627">
        <v>5000000</v>
      </c>
      <c r="L198" s="1628">
        <v>10000000</v>
      </c>
      <c r="M198" s="1554"/>
    </row>
    <row r="199" spans="1:13" ht="11.25" customHeight="1" x14ac:dyDescent="0.25">
      <c r="A199" s="1168" t="str">
        <f t="shared" si="96"/>
        <v>3.2 - Human Settlement Development Management</v>
      </c>
      <c r="B199" s="293"/>
      <c r="C199" s="1627"/>
      <c r="D199" s="1627"/>
      <c r="E199" s="1628"/>
      <c r="F199" s="1629">
        <v>4500000</v>
      </c>
      <c r="G199" s="1053">
        <v>0</v>
      </c>
      <c r="H199" s="1053">
        <v>0</v>
      </c>
      <c r="I199" s="1053">
        <v>0</v>
      </c>
      <c r="J199" s="1629"/>
      <c r="K199" s="1627"/>
      <c r="L199" s="1628"/>
      <c r="M199" s="1554"/>
    </row>
    <row r="200" spans="1:13" ht="11.25" customHeight="1" x14ac:dyDescent="0.25">
      <c r="A200" s="1168" t="str">
        <f t="shared" si="96"/>
        <v>3.3 - Municipal Infrastructure Planning, Funding, Maintenance and Development Management</v>
      </c>
      <c r="B200" s="293"/>
      <c r="C200" s="1627"/>
      <c r="D200" s="1627"/>
      <c r="E200" s="1628"/>
      <c r="F200" s="1629">
        <v>0</v>
      </c>
      <c r="G200" s="1053">
        <v>0</v>
      </c>
      <c r="H200" s="1053">
        <v>0</v>
      </c>
      <c r="I200" s="1053">
        <v>0</v>
      </c>
      <c r="J200" s="1629">
        <f>13710000+1290000</f>
        <v>15000000</v>
      </c>
      <c r="K200" s="1627">
        <v>10000000</v>
      </c>
      <c r="L200" s="1628">
        <v>10040000</v>
      </c>
      <c r="M200" s="1554"/>
    </row>
    <row r="201" spans="1:13" ht="11.25" customHeight="1" x14ac:dyDescent="0.25">
      <c r="A201" s="1168" t="str">
        <f t="shared" si="96"/>
        <v>3.4 - Roads and Stormwater</v>
      </c>
      <c r="B201" s="293"/>
      <c r="C201" s="1049"/>
      <c r="D201" s="1049"/>
      <c r="E201" s="1050"/>
      <c r="F201" s="1051">
        <v>0</v>
      </c>
      <c r="G201" s="1053">
        <v>0</v>
      </c>
      <c r="H201" s="1053">
        <v>0</v>
      </c>
      <c r="I201" s="1053">
        <v>0</v>
      </c>
      <c r="J201" s="1051">
        <v>19230000</v>
      </c>
      <c r="K201" s="1049">
        <v>15250000</v>
      </c>
      <c r="L201" s="1050">
        <v>8700000</v>
      </c>
      <c r="M201" s="1554"/>
    </row>
    <row r="202" spans="1:13" ht="11.25" customHeight="1" x14ac:dyDescent="0.25">
      <c r="A202" s="1168" t="str">
        <f t="shared" si="96"/>
        <v>3.5 - Waste Management</v>
      </c>
      <c r="B202" s="293"/>
      <c r="C202" s="1049"/>
      <c r="D202" s="1049"/>
      <c r="E202" s="1050"/>
      <c r="F202" s="1051">
        <v>0</v>
      </c>
      <c r="G202" s="1053">
        <v>0</v>
      </c>
      <c r="H202" s="1053">
        <v>0</v>
      </c>
      <c r="I202" s="1053">
        <v>0</v>
      </c>
      <c r="J202" s="1051">
        <v>300000</v>
      </c>
      <c r="K202" s="1049">
        <v>400000</v>
      </c>
      <c r="L202" s="1050">
        <v>400000</v>
      </c>
      <c r="M202" s="1554"/>
    </row>
    <row r="203" spans="1:13" ht="11.25" customHeight="1" x14ac:dyDescent="0.25">
      <c r="A203" s="1168" t="str">
        <f t="shared" si="96"/>
        <v>3.6 - Water Distribution and Sanitation Management</v>
      </c>
      <c r="B203" s="293"/>
      <c r="C203" s="1049"/>
      <c r="D203" s="1049"/>
      <c r="E203" s="1050"/>
      <c r="F203" s="1051">
        <v>2053000</v>
      </c>
      <c r="G203" s="1053">
        <v>4053000</v>
      </c>
      <c r="H203" s="1053">
        <v>4053000</v>
      </c>
      <c r="I203" s="1053">
        <v>4053000</v>
      </c>
      <c r="J203" s="1051">
        <v>6421655</v>
      </c>
      <c r="K203" s="1049">
        <v>900000</v>
      </c>
      <c r="L203" s="1050">
        <v>10850000</v>
      </c>
      <c r="M203" s="1554"/>
    </row>
    <row r="204" spans="1:13" ht="12.5" x14ac:dyDescent="0.25">
      <c r="A204" s="1168">
        <f t="shared" si="96"/>
        <v>0</v>
      </c>
      <c r="B204" s="293"/>
      <c r="C204" s="1049"/>
      <c r="D204" s="1049"/>
      <c r="E204" s="1050"/>
      <c r="F204" s="1051"/>
      <c r="G204" s="1053">
        <v>0</v>
      </c>
      <c r="H204" s="1053">
        <v>0</v>
      </c>
      <c r="I204" s="1053">
        <v>0</v>
      </c>
      <c r="J204" s="1051"/>
      <c r="K204" s="1049"/>
      <c r="L204" s="1050"/>
      <c r="M204" s="1554"/>
    </row>
    <row r="205" spans="1:13" ht="12.5" x14ac:dyDescent="0.25">
      <c r="A205" s="1168">
        <f t="shared" si="96"/>
        <v>0</v>
      </c>
      <c r="B205" s="293"/>
      <c r="C205" s="1049"/>
      <c r="D205" s="1049"/>
      <c r="E205" s="1050"/>
      <c r="F205" s="1051"/>
      <c r="G205" s="1049"/>
      <c r="H205" s="1049"/>
      <c r="I205" s="1049"/>
      <c r="J205" s="1051"/>
      <c r="K205" s="1049"/>
      <c r="L205" s="1050"/>
      <c r="M205" s="1554"/>
    </row>
    <row r="206" spans="1:13" ht="11.25" customHeight="1" x14ac:dyDescent="0.25">
      <c r="A206" s="1168">
        <f t="shared" si="96"/>
        <v>0</v>
      </c>
      <c r="B206" s="293"/>
      <c r="C206" s="1049"/>
      <c r="D206" s="1049"/>
      <c r="E206" s="1050"/>
      <c r="F206" s="1051"/>
      <c r="G206" s="1049"/>
      <c r="H206" s="1049"/>
      <c r="I206" s="1049"/>
      <c r="J206" s="1051"/>
      <c r="K206" s="1049"/>
      <c r="L206" s="1050"/>
      <c r="M206" s="1554"/>
    </row>
    <row r="207" spans="1:13" ht="12.5" x14ac:dyDescent="0.25">
      <c r="A207" s="1168">
        <f t="shared" si="96"/>
        <v>0</v>
      </c>
      <c r="B207" s="293"/>
      <c r="C207" s="1049"/>
      <c r="D207" s="1049"/>
      <c r="E207" s="1050"/>
      <c r="F207" s="1051"/>
      <c r="G207" s="1049"/>
      <c r="H207" s="1049"/>
      <c r="I207" s="1049"/>
      <c r="J207" s="1051"/>
      <c r="K207" s="1049"/>
      <c r="L207" s="1050"/>
      <c r="M207" s="1554"/>
    </row>
    <row r="208" spans="1:13" ht="15" customHeight="1" x14ac:dyDescent="0.25">
      <c r="A208" s="1168" t="str">
        <f t="shared" si="96"/>
        <v>Vote 4 - Sustainable Community Service Delivery Provision Management</v>
      </c>
      <c r="B208" s="981"/>
      <c r="C208" s="976">
        <f t="shared" ref="C208:L208" si="99">SUM(C209:C218)</f>
        <v>0</v>
      </c>
      <c r="D208" s="976">
        <f t="shared" si="99"/>
        <v>0</v>
      </c>
      <c r="E208" s="977">
        <f t="shared" si="99"/>
        <v>0</v>
      </c>
      <c r="F208" s="982">
        <f t="shared" si="99"/>
        <v>13295810</v>
      </c>
      <c r="G208" s="976">
        <f t="shared" si="99"/>
        <v>22612679</v>
      </c>
      <c r="H208" s="977">
        <f t="shared" si="99"/>
        <v>22612679</v>
      </c>
      <c r="I208" s="979">
        <f t="shared" si="99"/>
        <v>22612679</v>
      </c>
      <c r="J208" s="978">
        <f t="shared" si="99"/>
        <v>8310000</v>
      </c>
      <c r="K208" s="976">
        <f t="shared" si="99"/>
        <v>2800000</v>
      </c>
      <c r="L208" s="983">
        <f t="shared" si="99"/>
        <v>1200000</v>
      </c>
      <c r="M208" s="1554"/>
    </row>
    <row r="209" spans="1:13" ht="12.5" x14ac:dyDescent="0.25">
      <c r="A209" s="1168" t="str">
        <f t="shared" si="96"/>
        <v>4.1 - Community Services Provision Management</v>
      </c>
      <c r="B209" s="293"/>
      <c r="C209" s="1049"/>
      <c r="D209" s="1049"/>
      <c r="E209" s="1050"/>
      <c r="F209" s="1051">
        <v>12250000</v>
      </c>
      <c r="G209" s="1053">
        <v>20065000</v>
      </c>
      <c r="H209" s="1053">
        <v>20065000</v>
      </c>
      <c r="I209" s="1053">
        <v>20065000</v>
      </c>
      <c r="J209" s="1051">
        <v>2700000</v>
      </c>
      <c r="K209" s="1049"/>
      <c r="L209" s="1050"/>
      <c r="M209" s="1554"/>
    </row>
    <row r="210" spans="1:13" ht="12.5" x14ac:dyDescent="0.25">
      <c r="A210" s="1168" t="str">
        <f t="shared" si="96"/>
        <v>4.2 - Public Safety, Enforcement and Disaster Management</v>
      </c>
      <c r="B210" s="293"/>
      <c r="C210" s="1049"/>
      <c r="D210" s="1049"/>
      <c r="E210" s="1050"/>
      <c r="F210" s="1051">
        <v>0</v>
      </c>
      <c r="G210" s="1053">
        <v>1212000</v>
      </c>
      <c r="H210" s="1053">
        <v>1212000</v>
      </c>
      <c r="I210" s="1053">
        <v>1212000</v>
      </c>
      <c r="J210" s="1051"/>
      <c r="K210" s="1049"/>
      <c r="L210" s="1050"/>
      <c r="M210" s="1554"/>
    </row>
    <row r="211" spans="1:13" ht="11.25" customHeight="1" x14ac:dyDescent="0.25">
      <c r="A211" s="1168" t="str">
        <f t="shared" si="96"/>
        <v>4.3 - Regional Community Services Provision Management</v>
      </c>
      <c r="B211" s="293"/>
      <c r="C211" s="1049"/>
      <c r="D211" s="1049"/>
      <c r="E211" s="1050"/>
      <c r="F211" s="1051">
        <v>1045810</v>
      </c>
      <c r="G211" s="1053">
        <v>1335679</v>
      </c>
      <c r="H211" s="1053">
        <v>1335679</v>
      </c>
      <c r="I211" s="1053">
        <v>1335679</v>
      </c>
      <c r="J211" s="1051">
        <v>5610000</v>
      </c>
      <c r="K211" s="1049">
        <v>2800000</v>
      </c>
      <c r="L211" s="1050">
        <v>1200000</v>
      </c>
      <c r="M211" s="1554"/>
    </row>
    <row r="212" spans="1:13" s="335" customFormat="1" ht="11.25" customHeight="1" x14ac:dyDescent="0.25">
      <c r="A212" s="1168">
        <f t="shared" si="96"/>
        <v>0</v>
      </c>
      <c r="B212" s="293"/>
      <c r="C212" s="1049"/>
      <c r="D212" s="1049"/>
      <c r="E212" s="1050"/>
      <c r="F212" s="1051"/>
      <c r="G212" s="1053">
        <v>0</v>
      </c>
      <c r="H212" s="1053">
        <v>0</v>
      </c>
      <c r="I212" s="1053">
        <v>0</v>
      </c>
      <c r="J212" s="1051"/>
      <c r="K212" s="1049"/>
      <c r="L212" s="1050"/>
      <c r="M212" s="1554"/>
    </row>
    <row r="213" spans="1:13" s="335" customFormat="1" ht="11.25" hidden="1" customHeight="1" x14ac:dyDescent="0.25">
      <c r="A213" s="1168">
        <f t="shared" si="96"/>
        <v>0</v>
      </c>
      <c r="B213" s="293"/>
      <c r="C213" s="1049"/>
      <c r="D213" s="1049"/>
      <c r="E213" s="1050"/>
      <c r="F213" s="1051"/>
      <c r="G213" s="1049"/>
      <c r="H213" s="1050"/>
      <c r="I213" s="1052"/>
      <c r="J213" s="1051"/>
      <c r="K213" s="1049"/>
      <c r="L213" s="1050"/>
      <c r="M213" s="1554"/>
    </row>
    <row r="214" spans="1:13" ht="11.25" hidden="1" customHeight="1" x14ac:dyDescent="0.25">
      <c r="A214" s="1168">
        <f t="shared" si="96"/>
        <v>0</v>
      </c>
      <c r="B214" s="293"/>
      <c r="C214" s="1049"/>
      <c r="D214" s="1049"/>
      <c r="E214" s="1050"/>
      <c r="F214" s="1051"/>
      <c r="G214" s="1049"/>
      <c r="H214" s="1050"/>
      <c r="I214" s="1052"/>
      <c r="J214" s="1051"/>
      <c r="K214" s="1049"/>
      <c r="L214" s="1050"/>
      <c r="M214" s="1554"/>
    </row>
    <row r="215" spans="1:13" ht="11.25" hidden="1" customHeight="1" x14ac:dyDescent="0.25">
      <c r="A215" s="1168">
        <f t="shared" si="96"/>
        <v>0</v>
      </c>
      <c r="B215" s="293"/>
      <c r="C215" s="1049"/>
      <c r="D215" s="1049"/>
      <c r="E215" s="1050"/>
      <c r="F215" s="1051"/>
      <c r="G215" s="1049"/>
      <c r="H215" s="1050"/>
      <c r="I215" s="1052"/>
      <c r="J215" s="1051"/>
      <c r="K215" s="1049"/>
      <c r="L215" s="1050"/>
      <c r="M215" s="1554"/>
    </row>
    <row r="216" spans="1:13" ht="11.25" hidden="1" customHeight="1" x14ac:dyDescent="0.25">
      <c r="A216" s="1168">
        <f t="shared" si="96"/>
        <v>0</v>
      </c>
      <c r="B216" s="293"/>
      <c r="C216" s="1049"/>
      <c r="D216" s="1049"/>
      <c r="E216" s="1050"/>
      <c r="F216" s="1051"/>
      <c r="G216" s="1049"/>
      <c r="H216" s="1050"/>
      <c r="I216" s="1052"/>
      <c r="J216" s="1051"/>
      <c r="K216" s="1049"/>
      <c r="L216" s="1050"/>
      <c r="M216" s="1554"/>
    </row>
    <row r="217" spans="1:13" ht="11.25" hidden="1" customHeight="1" x14ac:dyDescent="0.25">
      <c r="A217" s="1168">
        <f t="shared" si="96"/>
        <v>0</v>
      </c>
      <c r="B217" s="293"/>
      <c r="C217" s="1049"/>
      <c r="D217" s="1049"/>
      <c r="E217" s="1050"/>
      <c r="F217" s="1051"/>
      <c r="G217" s="1049"/>
      <c r="H217" s="1050"/>
      <c r="I217" s="1052"/>
      <c r="J217" s="1051"/>
      <c r="K217" s="1049"/>
      <c r="L217" s="1050"/>
      <c r="M217" s="1554"/>
    </row>
    <row r="218" spans="1:13" ht="11.25" hidden="1" customHeight="1" x14ac:dyDescent="0.25">
      <c r="A218" s="1168">
        <f t="shared" si="96"/>
        <v>0</v>
      </c>
      <c r="B218" s="293"/>
      <c r="C218" s="1049"/>
      <c r="D218" s="1049"/>
      <c r="E218" s="1050"/>
      <c r="F218" s="1051"/>
      <c r="G218" s="1049"/>
      <c r="H218" s="1050"/>
      <c r="I218" s="1052"/>
      <c r="J218" s="1051"/>
      <c r="K218" s="1049"/>
      <c r="L218" s="1050"/>
      <c r="M218" s="1554"/>
    </row>
    <row r="219" spans="1:13" ht="15" hidden="1" customHeight="1" x14ac:dyDescent="0.25">
      <c r="A219" s="1168" t="str">
        <f t="shared" si="96"/>
        <v>Vote 5 - [NAME OF VOTE 5]</v>
      </c>
      <c r="B219" s="981"/>
      <c r="C219" s="976">
        <f t="shared" ref="C219:L219" si="100">SUM(C220:C229)</f>
        <v>0</v>
      </c>
      <c r="D219" s="976">
        <f t="shared" si="100"/>
        <v>0</v>
      </c>
      <c r="E219" s="977">
        <f t="shared" si="100"/>
        <v>0</v>
      </c>
      <c r="F219" s="978">
        <f t="shared" si="100"/>
        <v>0</v>
      </c>
      <c r="G219" s="976">
        <f t="shared" si="100"/>
        <v>0</v>
      </c>
      <c r="H219" s="977">
        <f t="shared" si="100"/>
        <v>0</v>
      </c>
      <c r="I219" s="979">
        <f t="shared" si="100"/>
        <v>0</v>
      </c>
      <c r="J219" s="978">
        <f t="shared" si="100"/>
        <v>0</v>
      </c>
      <c r="K219" s="976">
        <f t="shared" si="100"/>
        <v>0</v>
      </c>
      <c r="L219" s="977">
        <f t="shared" si="100"/>
        <v>0</v>
      </c>
      <c r="M219" s="1554"/>
    </row>
    <row r="220" spans="1:13" ht="11.25" hidden="1" customHeight="1" x14ac:dyDescent="0.25">
      <c r="A220" s="1168" t="str">
        <f t="shared" si="96"/>
        <v>5.1 - [Name of sub-vote]</v>
      </c>
      <c r="B220" s="293"/>
      <c r="C220" s="1049"/>
      <c r="D220" s="1049"/>
      <c r="E220" s="1050"/>
      <c r="F220" s="1051"/>
      <c r="G220" s="1049"/>
      <c r="H220" s="1050"/>
      <c r="I220" s="1052"/>
      <c r="J220" s="1051"/>
      <c r="K220" s="1049"/>
      <c r="L220" s="1050"/>
      <c r="M220" s="1554"/>
    </row>
    <row r="221" spans="1:13" ht="11.25" hidden="1" customHeight="1" x14ac:dyDescent="0.25">
      <c r="A221" s="1168">
        <f t="shared" si="96"/>
        <v>0</v>
      </c>
      <c r="B221" s="293"/>
      <c r="C221" s="1049"/>
      <c r="D221" s="1049"/>
      <c r="E221" s="1050"/>
      <c r="F221" s="1051"/>
      <c r="G221" s="1049"/>
      <c r="H221" s="1050"/>
      <c r="I221" s="1052"/>
      <c r="J221" s="1051"/>
      <c r="K221" s="1049"/>
      <c r="L221" s="1050"/>
      <c r="M221" s="1554"/>
    </row>
    <row r="222" spans="1:13" ht="11.25" hidden="1" customHeight="1" x14ac:dyDescent="0.25">
      <c r="A222" s="1168">
        <f t="shared" si="96"/>
        <v>0</v>
      </c>
      <c r="B222" s="293"/>
      <c r="C222" s="1049"/>
      <c r="D222" s="1049"/>
      <c r="E222" s="1050"/>
      <c r="F222" s="1051"/>
      <c r="G222" s="1049"/>
      <c r="H222" s="1050"/>
      <c r="I222" s="1052"/>
      <c r="J222" s="1051"/>
      <c r="K222" s="1049"/>
      <c r="L222" s="1050"/>
      <c r="M222" s="1554"/>
    </row>
    <row r="223" spans="1:13" ht="11.25" hidden="1" customHeight="1" x14ac:dyDescent="0.25">
      <c r="A223" s="1168">
        <f t="shared" si="96"/>
        <v>0</v>
      </c>
      <c r="B223" s="293"/>
      <c r="C223" s="1049"/>
      <c r="D223" s="1049"/>
      <c r="E223" s="1050"/>
      <c r="F223" s="1051"/>
      <c r="G223" s="1049"/>
      <c r="H223" s="1050"/>
      <c r="I223" s="1052"/>
      <c r="J223" s="1051"/>
      <c r="K223" s="1049"/>
      <c r="L223" s="1050"/>
      <c r="M223" s="1554"/>
    </row>
    <row r="224" spans="1:13" ht="11.25" hidden="1" customHeight="1" x14ac:dyDescent="0.25">
      <c r="A224" s="1168">
        <f t="shared" si="96"/>
        <v>0</v>
      </c>
      <c r="B224" s="293"/>
      <c r="C224" s="1049"/>
      <c r="D224" s="1049"/>
      <c r="E224" s="1050"/>
      <c r="F224" s="1051"/>
      <c r="G224" s="1049"/>
      <c r="H224" s="1050"/>
      <c r="I224" s="1052"/>
      <c r="J224" s="1051"/>
      <c r="K224" s="1049"/>
      <c r="L224" s="1050"/>
      <c r="M224" s="1554"/>
    </row>
    <row r="225" spans="1:13" ht="11.25" hidden="1" customHeight="1" x14ac:dyDescent="0.25">
      <c r="A225" s="1168">
        <f t="shared" si="96"/>
        <v>0</v>
      </c>
      <c r="B225" s="293"/>
      <c r="C225" s="1049"/>
      <c r="D225" s="1049"/>
      <c r="E225" s="1050"/>
      <c r="F225" s="1051"/>
      <c r="G225" s="1049"/>
      <c r="H225" s="1050"/>
      <c r="I225" s="1052"/>
      <c r="J225" s="1051"/>
      <c r="K225" s="1049"/>
      <c r="L225" s="1050"/>
      <c r="M225" s="1554"/>
    </row>
    <row r="226" spans="1:13" ht="11.25" hidden="1" customHeight="1" x14ac:dyDescent="0.25">
      <c r="A226" s="1168">
        <f t="shared" si="96"/>
        <v>0</v>
      </c>
      <c r="B226" s="293"/>
      <c r="C226" s="1049"/>
      <c r="D226" s="1049"/>
      <c r="E226" s="1050"/>
      <c r="F226" s="1051"/>
      <c r="G226" s="1049"/>
      <c r="H226" s="1050"/>
      <c r="I226" s="1052"/>
      <c r="J226" s="1051"/>
      <c r="K226" s="1049"/>
      <c r="L226" s="1050"/>
      <c r="M226" s="1554"/>
    </row>
    <row r="227" spans="1:13" ht="11.25" hidden="1" customHeight="1" x14ac:dyDescent="0.25">
      <c r="A227" s="1168">
        <f t="shared" si="96"/>
        <v>0</v>
      </c>
      <c r="B227" s="293"/>
      <c r="C227" s="1049"/>
      <c r="D227" s="1049"/>
      <c r="E227" s="1050"/>
      <c r="F227" s="1051"/>
      <c r="G227" s="1049"/>
      <c r="H227" s="1050"/>
      <c r="I227" s="1052"/>
      <c r="J227" s="1051"/>
      <c r="K227" s="1049"/>
      <c r="L227" s="1050"/>
      <c r="M227" s="1554"/>
    </row>
    <row r="228" spans="1:13" ht="11.25" hidden="1" customHeight="1" x14ac:dyDescent="0.25">
      <c r="A228" s="1168">
        <f t="shared" si="96"/>
        <v>0</v>
      </c>
      <c r="B228" s="293"/>
      <c r="C228" s="1049"/>
      <c r="D228" s="1049"/>
      <c r="E228" s="1050"/>
      <c r="F228" s="1051"/>
      <c r="G228" s="1049"/>
      <c r="H228" s="1050"/>
      <c r="I228" s="1052"/>
      <c r="J228" s="1051"/>
      <c r="K228" s="1049"/>
      <c r="L228" s="1050"/>
      <c r="M228" s="1554"/>
    </row>
    <row r="229" spans="1:13" ht="11.25" hidden="1" customHeight="1" x14ac:dyDescent="0.25">
      <c r="A229" s="1168">
        <f t="shared" si="96"/>
        <v>0</v>
      </c>
      <c r="B229" s="293"/>
      <c r="C229" s="1049"/>
      <c r="D229" s="1049"/>
      <c r="E229" s="1050"/>
      <c r="F229" s="1051"/>
      <c r="G229" s="1049"/>
      <c r="H229" s="1050"/>
      <c r="I229" s="1052"/>
      <c r="J229" s="1051"/>
      <c r="K229" s="1049"/>
      <c r="L229" s="1050"/>
      <c r="M229" s="1554"/>
    </row>
    <row r="230" spans="1:13" ht="15" hidden="1" customHeight="1" x14ac:dyDescent="0.25">
      <c r="A230" s="1168" t="str">
        <f t="shared" si="96"/>
        <v>Vote 6 - [NAME OF VOTE 6]</v>
      </c>
      <c r="B230" s="981"/>
      <c r="C230" s="976">
        <f t="shared" ref="C230:L230" si="101">SUM(C231:C240)</f>
        <v>0</v>
      </c>
      <c r="D230" s="976">
        <f t="shared" si="101"/>
        <v>0</v>
      </c>
      <c r="E230" s="977">
        <f t="shared" si="101"/>
        <v>0</v>
      </c>
      <c r="F230" s="978">
        <f t="shared" si="101"/>
        <v>0</v>
      </c>
      <c r="G230" s="976">
        <f t="shared" si="101"/>
        <v>0</v>
      </c>
      <c r="H230" s="977">
        <f t="shared" si="101"/>
        <v>0</v>
      </c>
      <c r="I230" s="979">
        <f t="shared" si="101"/>
        <v>0</v>
      </c>
      <c r="J230" s="978">
        <f t="shared" si="101"/>
        <v>0</v>
      </c>
      <c r="K230" s="976">
        <f t="shared" si="101"/>
        <v>0</v>
      </c>
      <c r="L230" s="977">
        <f t="shared" si="101"/>
        <v>0</v>
      </c>
      <c r="M230" s="370"/>
    </row>
    <row r="231" spans="1:13" ht="11.25" hidden="1" customHeight="1" x14ac:dyDescent="0.25">
      <c r="A231" s="1168" t="str">
        <f t="shared" si="96"/>
        <v>6.1 - [Name of sub-vote]</v>
      </c>
      <c r="B231" s="293"/>
      <c r="C231" s="1049"/>
      <c r="D231" s="1049"/>
      <c r="E231" s="1050"/>
      <c r="F231" s="1051"/>
      <c r="G231" s="1049"/>
      <c r="H231" s="1050"/>
      <c r="I231" s="1052"/>
      <c r="J231" s="1051"/>
      <c r="K231" s="1049"/>
      <c r="L231" s="1050"/>
      <c r="M231" s="370"/>
    </row>
    <row r="232" spans="1:13" ht="11.25" hidden="1" customHeight="1" x14ac:dyDescent="0.25">
      <c r="A232" s="1168">
        <f t="shared" si="96"/>
        <v>0</v>
      </c>
      <c r="B232" s="293"/>
      <c r="C232" s="1049"/>
      <c r="D232" s="1049"/>
      <c r="E232" s="1050"/>
      <c r="F232" s="1051"/>
      <c r="G232" s="1049"/>
      <c r="H232" s="1050"/>
      <c r="I232" s="1052"/>
      <c r="J232" s="1051"/>
      <c r="K232" s="1049"/>
      <c r="L232" s="1050"/>
      <c r="M232" s="370"/>
    </row>
    <row r="233" spans="1:13" ht="11.25" hidden="1" customHeight="1" x14ac:dyDescent="0.25">
      <c r="A233" s="1168">
        <f t="shared" si="96"/>
        <v>0</v>
      </c>
      <c r="B233" s="293"/>
      <c r="C233" s="1049"/>
      <c r="D233" s="1049"/>
      <c r="E233" s="1050"/>
      <c r="F233" s="1051"/>
      <c r="G233" s="1049"/>
      <c r="H233" s="1050"/>
      <c r="I233" s="1052"/>
      <c r="J233" s="1051"/>
      <c r="K233" s="1049"/>
      <c r="L233" s="1050"/>
      <c r="M233" s="370"/>
    </row>
    <row r="234" spans="1:13" ht="11.25" hidden="1" customHeight="1" x14ac:dyDescent="0.25">
      <c r="A234" s="1168">
        <f t="shared" si="96"/>
        <v>0</v>
      </c>
      <c r="B234" s="293"/>
      <c r="C234" s="1049"/>
      <c r="D234" s="1049"/>
      <c r="E234" s="1050"/>
      <c r="F234" s="1051"/>
      <c r="G234" s="1049"/>
      <c r="H234" s="1050"/>
      <c r="I234" s="1052"/>
      <c r="J234" s="1051"/>
      <c r="K234" s="1049"/>
      <c r="L234" s="1050"/>
      <c r="M234" s="370"/>
    </row>
    <row r="235" spans="1:13" ht="11.25" hidden="1" customHeight="1" x14ac:dyDescent="0.25">
      <c r="A235" s="1168">
        <f t="shared" si="96"/>
        <v>0</v>
      </c>
      <c r="B235" s="293"/>
      <c r="C235" s="1049"/>
      <c r="D235" s="1049"/>
      <c r="E235" s="1050"/>
      <c r="F235" s="1051"/>
      <c r="G235" s="1049"/>
      <c r="H235" s="1050"/>
      <c r="I235" s="1052"/>
      <c r="J235" s="1051"/>
      <c r="K235" s="1049"/>
      <c r="L235" s="1050"/>
      <c r="M235" s="370"/>
    </row>
    <row r="236" spans="1:13" ht="11.25" hidden="1" customHeight="1" x14ac:dyDescent="0.25">
      <c r="A236" s="1168">
        <f t="shared" si="96"/>
        <v>0</v>
      </c>
      <c r="B236" s="293"/>
      <c r="C236" s="1049"/>
      <c r="D236" s="1049"/>
      <c r="E236" s="1050"/>
      <c r="F236" s="1051"/>
      <c r="G236" s="1049"/>
      <c r="H236" s="1050"/>
      <c r="I236" s="1052"/>
      <c r="J236" s="1051"/>
      <c r="K236" s="1049"/>
      <c r="L236" s="1050"/>
      <c r="M236" s="370"/>
    </row>
    <row r="237" spans="1:13" ht="11.25" hidden="1" customHeight="1" x14ac:dyDescent="0.25">
      <c r="A237" s="1168">
        <f t="shared" si="96"/>
        <v>0</v>
      </c>
      <c r="B237" s="293"/>
      <c r="C237" s="1049"/>
      <c r="D237" s="1049"/>
      <c r="E237" s="1050"/>
      <c r="F237" s="1051"/>
      <c r="G237" s="1049"/>
      <c r="H237" s="1050"/>
      <c r="I237" s="1052"/>
      <c r="J237" s="1051"/>
      <c r="K237" s="1049"/>
      <c r="L237" s="1050"/>
      <c r="M237" s="370"/>
    </row>
    <row r="238" spans="1:13" ht="11.25" hidden="1" customHeight="1" x14ac:dyDescent="0.25">
      <c r="A238" s="1168">
        <f t="shared" si="96"/>
        <v>0</v>
      </c>
      <c r="B238" s="293"/>
      <c r="C238" s="1049"/>
      <c r="D238" s="1049"/>
      <c r="E238" s="1050"/>
      <c r="F238" s="1051"/>
      <c r="G238" s="1049"/>
      <c r="H238" s="1050"/>
      <c r="I238" s="1052"/>
      <c r="J238" s="1051"/>
      <c r="K238" s="1049"/>
      <c r="L238" s="1050"/>
      <c r="M238" s="370"/>
    </row>
    <row r="239" spans="1:13" ht="11.25" hidden="1" customHeight="1" x14ac:dyDescent="0.25">
      <c r="A239" s="1168">
        <f t="shared" si="96"/>
        <v>0</v>
      </c>
      <c r="B239" s="293"/>
      <c r="C239" s="1049"/>
      <c r="D239" s="1049"/>
      <c r="E239" s="1050"/>
      <c r="F239" s="1051"/>
      <c r="G239" s="1049"/>
      <c r="H239" s="1050"/>
      <c r="I239" s="1052"/>
      <c r="J239" s="1051"/>
      <c r="K239" s="1049"/>
      <c r="L239" s="1050"/>
      <c r="M239" s="370"/>
    </row>
    <row r="240" spans="1:13" ht="11.25" hidden="1" customHeight="1" x14ac:dyDescent="0.25">
      <c r="A240" s="1168">
        <f t="shared" ref="A240:A303" si="102">A71</f>
        <v>0</v>
      </c>
      <c r="B240" s="293"/>
      <c r="C240" s="1049"/>
      <c r="D240" s="1049"/>
      <c r="E240" s="1050"/>
      <c r="F240" s="1051"/>
      <c r="G240" s="1049"/>
      <c r="H240" s="1050"/>
      <c r="I240" s="1052"/>
      <c r="J240" s="1051"/>
      <c r="K240" s="1049"/>
      <c r="L240" s="1050"/>
      <c r="M240" s="370"/>
    </row>
    <row r="241" spans="1:13" ht="15" hidden="1" customHeight="1" x14ac:dyDescent="0.25">
      <c r="A241" s="1168" t="str">
        <f t="shared" si="102"/>
        <v>Vote 7 - [NAME OF VOTE 7]</v>
      </c>
      <c r="B241" s="981"/>
      <c r="C241" s="976">
        <f t="shared" ref="C241:L241" si="103">SUM(C242:C251)</f>
        <v>0</v>
      </c>
      <c r="D241" s="976">
        <f t="shared" si="103"/>
        <v>0</v>
      </c>
      <c r="E241" s="977">
        <f t="shared" si="103"/>
        <v>0</v>
      </c>
      <c r="F241" s="978">
        <f t="shared" si="103"/>
        <v>0</v>
      </c>
      <c r="G241" s="976">
        <f t="shared" si="103"/>
        <v>0</v>
      </c>
      <c r="H241" s="977">
        <f t="shared" si="103"/>
        <v>0</v>
      </c>
      <c r="I241" s="979">
        <f t="shared" si="103"/>
        <v>0</v>
      </c>
      <c r="J241" s="978">
        <f t="shared" si="103"/>
        <v>0</v>
      </c>
      <c r="K241" s="976">
        <f t="shared" si="103"/>
        <v>0</v>
      </c>
      <c r="L241" s="977">
        <f t="shared" si="103"/>
        <v>0</v>
      </c>
      <c r="M241" s="370"/>
    </row>
    <row r="242" spans="1:13" ht="11.25" hidden="1" customHeight="1" x14ac:dyDescent="0.25">
      <c r="A242" s="1168" t="str">
        <f t="shared" si="102"/>
        <v>7.1 - [Name of sub-vote]</v>
      </c>
      <c r="B242" s="293"/>
      <c r="C242" s="1049"/>
      <c r="D242" s="1049"/>
      <c r="E242" s="1050"/>
      <c r="F242" s="1051"/>
      <c r="G242" s="1049"/>
      <c r="H242" s="1050"/>
      <c r="I242" s="1052"/>
      <c r="J242" s="1051"/>
      <c r="K242" s="1049"/>
      <c r="L242" s="1050"/>
      <c r="M242" s="370"/>
    </row>
    <row r="243" spans="1:13" ht="11.25" hidden="1" customHeight="1" x14ac:dyDescent="0.25">
      <c r="A243" s="1168">
        <f t="shared" si="102"/>
        <v>0</v>
      </c>
      <c r="B243" s="293"/>
      <c r="C243" s="1049"/>
      <c r="D243" s="1049"/>
      <c r="E243" s="1050"/>
      <c r="F243" s="1051"/>
      <c r="G243" s="1049"/>
      <c r="H243" s="1050"/>
      <c r="I243" s="1052"/>
      <c r="J243" s="1051"/>
      <c r="K243" s="1049"/>
      <c r="L243" s="1050"/>
      <c r="M243" s="370"/>
    </row>
    <row r="244" spans="1:13" ht="11.25" hidden="1" customHeight="1" x14ac:dyDescent="0.25">
      <c r="A244" s="1168">
        <f t="shared" si="102"/>
        <v>0</v>
      </c>
      <c r="B244" s="293"/>
      <c r="C244" s="1049"/>
      <c r="D244" s="1049"/>
      <c r="E244" s="1050"/>
      <c r="F244" s="1051"/>
      <c r="G244" s="1049"/>
      <c r="H244" s="1050"/>
      <c r="I244" s="1052"/>
      <c r="J244" s="1051"/>
      <c r="K244" s="1049"/>
      <c r="L244" s="1050"/>
      <c r="M244" s="370"/>
    </row>
    <row r="245" spans="1:13" ht="11.25" hidden="1" customHeight="1" x14ac:dyDescent="0.25">
      <c r="A245" s="1168">
        <f t="shared" si="102"/>
        <v>0</v>
      </c>
      <c r="B245" s="293"/>
      <c r="C245" s="1049"/>
      <c r="D245" s="1049"/>
      <c r="E245" s="1050"/>
      <c r="F245" s="1051"/>
      <c r="G245" s="1049"/>
      <c r="H245" s="1050"/>
      <c r="I245" s="1052"/>
      <c r="J245" s="1051"/>
      <c r="K245" s="1049"/>
      <c r="L245" s="1050"/>
      <c r="M245" s="370"/>
    </row>
    <row r="246" spans="1:13" ht="11.25" hidden="1" customHeight="1" x14ac:dyDescent="0.25">
      <c r="A246" s="1168">
        <f t="shared" si="102"/>
        <v>0</v>
      </c>
      <c r="B246" s="293"/>
      <c r="C246" s="1049"/>
      <c r="D246" s="1049"/>
      <c r="E246" s="1050"/>
      <c r="F246" s="1051"/>
      <c r="G246" s="1049"/>
      <c r="H246" s="1050"/>
      <c r="I246" s="1052"/>
      <c r="J246" s="1051"/>
      <c r="K246" s="1049"/>
      <c r="L246" s="1050"/>
      <c r="M246" s="370"/>
    </row>
    <row r="247" spans="1:13" ht="11.25" hidden="1" customHeight="1" x14ac:dyDescent="0.25">
      <c r="A247" s="1168">
        <f t="shared" si="102"/>
        <v>0</v>
      </c>
      <c r="B247" s="293"/>
      <c r="C247" s="1049"/>
      <c r="D247" s="1049"/>
      <c r="E247" s="1050"/>
      <c r="F247" s="1051"/>
      <c r="G247" s="1049"/>
      <c r="H247" s="1050"/>
      <c r="I247" s="1052"/>
      <c r="J247" s="1051"/>
      <c r="K247" s="1049"/>
      <c r="L247" s="1050"/>
      <c r="M247" s="370"/>
    </row>
    <row r="248" spans="1:13" ht="11.25" hidden="1" customHeight="1" x14ac:dyDescent="0.25">
      <c r="A248" s="1168">
        <f t="shared" si="102"/>
        <v>0</v>
      </c>
      <c r="B248" s="293"/>
      <c r="C248" s="1049"/>
      <c r="D248" s="1049"/>
      <c r="E248" s="1050"/>
      <c r="F248" s="1051"/>
      <c r="G248" s="1049"/>
      <c r="H248" s="1050"/>
      <c r="I248" s="1052"/>
      <c r="J248" s="1051"/>
      <c r="K248" s="1049"/>
      <c r="L248" s="1050"/>
      <c r="M248" s="370"/>
    </row>
    <row r="249" spans="1:13" ht="11.25" hidden="1" customHeight="1" x14ac:dyDescent="0.25">
      <c r="A249" s="1168">
        <f t="shared" si="102"/>
        <v>0</v>
      </c>
      <c r="B249" s="293"/>
      <c r="C249" s="1049"/>
      <c r="D249" s="1049"/>
      <c r="E249" s="1050"/>
      <c r="F249" s="1051"/>
      <c r="G249" s="1049"/>
      <c r="H249" s="1050"/>
      <c r="I249" s="1052"/>
      <c r="J249" s="1051"/>
      <c r="K249" s="1049"/>
      <c r="L249" s="1050"/>
      <c r="M249" s="370"/>
    </row>
    <row r="250" spans="1:13" ht="11.25" hidden="1" customHeight="1" x14ac:dyDescent="0.25">
      <c r="A250" s="1168">
        <f t="shared" si="102"/>
        <v>0</v>
      </c>
      <c r="B250" s="293"/>
      <c r="C250" s="1049"/>
      <c r="D250" s="1049"/>
      <c r="E250" s="1050"/>
      <c r="F250" s="1051"/>
      <c r="G250" s="1049"/>
      <c r="H250" s="1050"/>
      <c r="I250" s="1052"/>
      <c r="J250" s="1051"/>
      <c r="K250" s="1049"/>
      <c r="L250" s="1050"/>
      <c r="M250" s="370"/>
    </row>
    <row r="251" spans="1:13" ht="11.25" hidden="1" customHeight="1" x14ac:dyDescent="0.25">
      <c r="A251" s="1168">
        <f t="shared" si="102"/>
        <v>0</v>
      </c>
      <c r="B251" s="293"/>
      <c r="C251" s="1049"/>
      <c r="D251" s="1049"/>
      <c r="E251" s="1050"/>
      <c r="F251" s="1051"/>
      <c r="G251" s="1049"/>
      <c r="H251" s="1050"/>
      <c r="I251" s="1052"/>
      <c r="J251" s="1051"/>
      <c r="K251" s="1049"/>
      <c r="L251" s="1050"/>
      <c r="M251" s="370"/>
    </row>
    <row r="252" spans="1:13" ht="15" hidden="1" customHeight="1" x14ac:dyDescent="0.25">
      <c r="A252" s="1168" t="str">
        <f t="shared" si="102"/>
        <v>Vote 8 - [NAME OF VOTE 8]</v>
      </c>
      <c r="B252" s="293"/>
      <c r="C252" s="976">
        <f t="shared" ref="C252:L252" si="104">SUM(C253:C262)</f>
        <v>0</v>
      </c>
      <c r="D252" s="976">
        <f t="shared" si="104"/>
        <v>0</v>
      </c>
      <c r="E252" s="977">
        <f t="shared" si="104"/>
        <v>0</v>
      </c>
      <c r="F252" s="978">
        <f t="shared" si="104"/>
        <v>0</v>
      </c>
      <c r="G252" s="976">
        <f t="shared" si="104"/>
        <v>0</v>
      </c>
      <c r="H252" s="977">
        <f t="shared" si="104"/>
        <v>0</v>
      </c>
      <c r="I252" s="979">
        <f t="shared" si="104"/>
        <v>0</v>
      </c>
      <c r="J252" s="978">
        <f t="shared" si="104"/>
        <v>0</v>
      </c>
      <c r="K252" s="976">
        <f t="shared" si="104"/>
        <v>0</v>
      </c>
      <c r="L252" s="977">
        <f t="shared" si="104"/>
        <v>0</v>
      </c>
      <c r="M252" s="370"/>
    </row>
    <row r="253" spans="1:13" hidden="1" x14ac:dyDescent="0.25">
      <c r="A253" s="1168" t="str">
        <f t="shared" si="102"/>
        <v>8.1 - [Name of sub-vote]</v>
      </c>
      <c r="B253" s="293"/>
      <c r="C253" s="1049"/>
      <c r="D253" s="1049"/>
      <c r="E253" s="1052"/>
      <c r="F253" s="1051"/>
      <c r="G253" s="1049"/>
      <c r="H253" s="1050"/>
      <c r="I253" s="1052"/>
      <c r="J253" s="1051"/>
      <c r="K253" s="1049"/>
      <c r="L253" s="1050"/>
      <c r="M253" s="370"/>
    </row>
    <row r="254" spans="1:13" hidden="1" x14ac:dyDescent="0.25">
      <c r="A254" s="1168">
        <f t="shared" si="102"/>
        <v>0</v>
      </c>
      <c r="B254" s="293"/>
      <c r="C254" s="1049"/>
      <c r="D254" s="1049"/>
      <c r="E254" s="1052"/>
      <c r="F254" s="1051"/>
      <c r="G254" s="1049"/>
      <c r="H254" s="1050"/>
      <c r="I254" s="1052"/>
      <c r="J254" s="1051"/>
      <c r="K254" s="1049"/>
      <c r="L254" s="1050"/>
      <c r="M254" s="370"/>
    </row>
    <row r="255" spans="1:13" hidden="1" x14ac:dyDescent="0.25">
      <c r="A255" s="1168">
        <f t="shared" si="102"/>
        <v>0</v>
      </c>
      <c r="B255" s="293"/>
      <c r="C255" s="1049"/>
      <c r="D255" s="1049"/>
      <c r="E255" s="1052"/>
      <c r="F255" s="1051"/>
      <c r="G255" s="1049"/>
      <c r="H255" s="1050"/>
      <c r="I255" s="1052"/>
      <c r="J255" s="1051"/>
      <c r="K255" s="1049"/>
      <c r="L255" s="1050"/>
      <c r="M255" s="370"/>
    </row>
    <row r="256" spans="1:13" hidden="1" x14ac:dyDescent="0.25">
      <c r="A256" s="1168">
        <f t="shared" si="102"/>
        <v>0</v>
      </c>
      <c r="B256" s="293"/>
      <c r="C256" s="1049"/>
      <c r="D256" s="1049"/>
      <c r="E256" s="1052"/>
      <c r="F256" s="1051"/>
      <c r="G256" s="1049"/>
      <c r="H256" s="1050"/>
      <c r="I256" s="1052"/>
      <c r="J256" s="1051"/>
      <c r="K256" s="1049"/>
      <c r="L256" s="1050"/>
      <c r="M256" s="370"/>
    </row>
    <row r="257" spans="1:13" hidden="1" x14ac:dyDescent="0.25">
      <c r="A257" s="1168">
        <f t="shared" si="102"/>
        <v>0</v>
      </c>
      <c r="B257" s="293"/>
      <c r="C257" s="1049"/>
      <c r="D257" s="1049"/>
      <c r="E257" s="1052"/>
      <c r="F257" s="1051"/>
      <c r="G257" s="1049"/>
      <c r="H257" s="1050"/>
      <c r="I257" s="1052"/>
      <c r="J257" s="1051"/>
      <c r="K257" s="1049"/>
      <c r="L257" s="1050"/>
      <c r="M257" s="370"/>
    </row>
    <row r="258" spans="1:13" hidden="1" x14ac:dyDescent="0.25">
      <c r="A258" s="1168">
        <f t="shared" si="102"/>
        <v>0</v>
      </c>
      <c r="B258" s="293"/>
      <c r="C258" s="1049"/>
      <c r="D258" s="1049"/>
      <c r="E258" s="1052"/>
      <c r="F258" s="1051"/>
      <c r="G258" s="1049"/>
      <c r="H258" s="1050"/>
      <c r="I258" s="1052"/>
      <c r="J258" s="1051"/>
      <c r="K258" s="1049"/>
      <c r="L258" s="1050"/>
      <c r="M258" s="370"/>
    </row>
    <row r="259" spans="1:13" hidden="1" x14ac:dyDescent="0.25">
      <c r="A259" s="1168">
        <f t="shared" si="102"/>
        <v>0</v>
      </c>
      <c r="B259" s="293"/>
      <c r="C259" s="1049"/>
      <c r="D259" s="1049"/>
      <c r="E259" s="1052"/>
      <c r="F259" s="1051"/>
      <c r="G259" s="1049"/>
      <c r="H259" s="1050"/>
      <c r="I259" s="1052"/>
      <c r="J259" s="1051"/>
      <c r="K259" s="1049"/>
      <c r="L259" s="1050"/>
      <c r="M259" s="370"/>
    </row>
    <row r="260" spans="1:13" hidden="1" x14ac:dyDescent="0.25">
      <c r="A260" s="1168">
        <f t="shared" si="102"/>
        <v>0</v>
      </c>
      <c r="B260" s="293"/>
      <c r="C260" s="1049"/>
      <c r="D260" s="1049"/>
      <c r="E260" s="1052"/>
      <c r="F260" s="1051"/>
      <c r="G260" s="1049"/>
      <c r="H260" s="1050"/>
      <c r="I260" s="1052"/>
      <c r="J260" s="1051"/>
      <c r="K260" s="1049"/>
      <c r="L260" s="1050"/>
      <c r="M260" s="370"/>
    </row>
    <row r="261" spans="1:13" hidden="1" x14ac:dyDescent="0.25">
      <c r="A261" s="1168">
        <f t="shared" si="102"/>
        <v>0</v>
      </c>
      <c r="B261" s="293"/>
      <c r="C261" s="1049"/>
      <c r="D261" s="1049"/>
      <c r="E261" s="1052"/>
      <c r="F261" s="1051"/>
      <c r="G261" s="1049"/>
      <c r="H261" s="1050"/>
      <c r="I261" s="1052"/>
      <c r="J261" s="1051"/>
      <c r="K261" s="1049"/>
      <c r="L261" s="1050"/>
      <c r="M261" s="370"/>
    </row>
    <row r="262" spans="1:13" hidden="1" x14ac:dyDescent="0.25">
      <c r="A262" s="1168">
        <f t="shared" si="102"/>
        <v>0</v>
      </c>
      <c r="B262" s="293"/>
      <c r="C262" s="1049"/>
      <c r="D262" s="1049"/>
      <c r="E262" s="1052"/>
      <c r="F262" s="1051"/>
      <c r="G262" s="1049"/>
      <c r="H262" s="1050"/>
      <c r="I262" s="1052"/>
      <c r="J262" s="1051"/>
      <c r="K262" s="1049"/>
      <c r="L262" s="1050"/>
      <c r="M262" s="370"/>
    </row>
    <row r="263" spans="1:13" ht="15" hidden="1" customHeight="1" x14ac:dyDescent="0.25">
      <c r="A263" s="1168" t="str">
        <f t="shared" si="102"/>
        <v>Vote 9 - [NAME OF VOTE 9]</v>
      </c>
      <c r="B263" s="293"/>
      <c r="C263" s="976">
        <f t="shared" ref="C263:L263" si="105">SUM(C264:C273)</f>
        <v>0</v>
      </c>
      <c r="D263" s="976">
        <f t="shared" si="105"/>
        <v>0</v>
      </c>
      <c r="E263" s="977">
        <f t="shared" si="105"/>
        <v>0</v>
      </c>
      <c r="F263" s="978">
        <f t="shared" si="105"/>
        <v>0</v>
      </c>
      <c r="G263" s="976">
        <f t="shared" si="105"/>
        <v>0</v>
      </c>
      <c r="H263" s="977">
        <f t="shared" si="105"/>
        <v>0</v>
      </c>
      <c r="I263" s="979">
        <f t="shared" si="105"/>
        <v>0</v>
      </c>
      <c r="J263" s="978">
        <f t="shared" si="105"/>
        <v>0</v>
      </c>
      <c r="K263" s="976">
        <f t="shared" si="105"/>
        <v>0</v>
      </c>
      <c r="L263" s="977">
        <f t="shared" si="105"/>
        <v>0</v>
      </c>
      <c r="M263" s="370"/>
    </row>
    <row r="264" spans="1:13" hidden="1" x14ac:dyDescent="0.25">
      <c r="A264" s="1168" t="str">
        <f t="shared" si="102"/>
        <v>9.1 - [Name of sub-vote]</v>
      </c>
      <c r="B264" s="293"/>
      <c r="C264" s="1049"/>
      <c r="D264" s="1049"/>
      <c r="E264" s="1052"/>
      <c r="F264" s="1051"/>
      <c r="G264" s="1049"/>
      <c r="H264" s="1050"/>
      <c r="I264" s="1052"/>
      <c r="J264" s="1051"/>
      <c r="K264" s="1049"/>
      <c r="L264" s="1050"/>
      <c r="M264" s="370"/>
    </row>
    <row r="265" spans="1:13" hidden="1" x14ac:dyDescent="0.25">
      <c r="A265" s="1168">
        <f t="shared" si="102"/>
        <v>0</v>
      </c>
      <c r="B265" s="293"/>
      <c r="C265" s="1049"/>
      <c r="D265" s="1049"/>
      <c r="E265" s="1052"/>
      <c r="F265" s="1051"/>
      <c r="G265" s="1049"/>
      <c r="H265" s="1050"/>
      <c r="I265" s="1052"/>
      <c r="J265" s="1051"/>
      <c r="K265" s="1049"/>
      <c r="L265" s="1050"/>
      <c r="M265" s="370"/>
    </row>
    <row r="266" spans="1:13" hidden="1" x14ac:dyDescent="0.25">
      <c r="A266" s="1168">
        <f t="shared" si="102"/>
        <v>0</v>
      </c>
      <c r="B266" s="293"/>
      <c r="C266" s="1049"/>
      <c r="D266" s="1049"/>
      <c r="E266" s="1052"/>
      <c r="F266" s="1051"/>
      <c r="G266" s="1049"/>
      <c r="H266" s="1050"/>
      <c r="I266" s="1052"/>
      <c r="J266" s="1051"/>
      <c r="K266" s="1049"/>
      <c r="L266" s="1050"/>
      <c r="M266" s="370"/>
    </row>
    <row r="267" spans="1:13" hidden="1" x14ac:dyDescent="0.25">
      <c r="A267" s="1168">
        <f t="shared" si="102"/>
        <v>0</v>
      </c>
      <c r="B267" s="293"/>
      <c r="C267" s="1049"/>
      <c r="D267" s="1049"/>
      <c r="E267" s="1052"/>
      <c r="F267" s="1051"/>
      <c r="G267" s="1049"/>
      <c r="H267" s="1050"/>
      <c r="I267" s="1052"/>
      <c r="J267" s="1051"/>
      <c r="K267" s="1049"/>
      <c r="L267" s="1050"/>
      <c r="M267" s="370"/>
    </row>
    <row r="268" spans="1:13" hidden="1" x14ac:dyDescent="0.25">
      <c r="A268" s="1168">
        <f t="shared" si="102"/>
        <v>0</v>
      </c>
      <c r="B268" s="293"/>
      <c r="C268" s="1049"/>
      <c r="D268" s="1049"/>
      <c r="E268" s="1052"/>
      <c r="F268" s="1051"/>
      <c r="G268" s="1049"/>
      <c r="H268" s="1050"/>
      <c r="I268" s="1052"/>
      <c r="J268" s="1051"/>
      <c r="K268" s="1049"/>
      <c r="L268" s="1050"/>
      <c r="M268" s="370"/>
    </row>
    <row r="269" spans="1:13" hidden="1" x14ac:dyDescent="0.25">
      <c r="A269" s="1168">
        <f t="shared" si="102"/>
        <v>0</v>
      </c>
      <c r="B269" s="293"/>
      <c r="C269" s="1049"/>
      <c r="D269" s="1049"/>
      <c r="E269" s="1052"/>
      <c r="F269" s="1051"/>
      <c r="G269" s="1049"/>
      <c r="H269" s="1050"/>
      <c r="I269" s="1052"/>
      <c r="J269" s="1051"/>
      <c r="K269" s="1049"/>
      <c r="L269" s="1050"/>
      <c r="M269" s="370"/>
    </row>
    <row r="270" spans="1:13" hidden="1" x14ac:dyDescent="0.25">
      <c r="A270" s="1168">
        <f t="shared" si="102"/>
        <v>0</v>
      </c>
      <c r="B270" s="293"/>
      <c r="C270" s="1049"/>
      <c r="D270" s="1049"/>
      <c r="E270" s="1052"/>
      <c r="F270" s="1051"/>
      <c r="G270" s="1049"/>
      <c r="H270" s="1050"/>
      <c r="I270" s="1052"/>
      <c r="J270" s="1051"/>
      <c r="K270" s="1049"/>
      <c r="L270" s="1050"/>
      <c r="M270" s="370"/>
    </row>
    <row r="271" spans="1:13" hidden="1" x14ac:dyDescent="0.25">
      <c r="A271" s="1168">
        <f t="shared" si="102"/>
        <v>0</v>
      </c>
      <c r="B271" s="293"/>
      <c r="C271" s="1049"/>
      <c r="D271" s="1049"/>
      <c r="E271" s="1052"/>
      <c r="F271" s="1051"/>
      <c r="G271" s="1049"/>
      <c r="H271" s="1050"/>
      <c r="I271" s="1052"/>
      <c r="J271" s="1051"/>
      <c r="K271" s="1049"/>
      <c r="L271" s="1050"/>
      <c r="M271" s="370"/>
    </row>
    <row r="272" spans="1:13" hidden="1" x14ac:dyDescent="0.25">
      <c r="A272" s="1168">
        <f t="shared" si="102"/>
        <v>0</v>
      </c>
      <c r="B272" s="293"/>
      <c r="C272" s="1049"/>
      <c r="D272" s="1049"/>
      <c r="E272" s="1052"/>
      <c r="F272" s="1051"/>
      <c r="G272" s="1049"/>
      <c r="H272" s="1050"/>
      <c r="I272" s="1052"/>
      <c r="J272" s="1051"/>
      <c r="K272" s="1049"/>
      <c r="L272" s="1050"/>
      <c r="M272" s="370"/>
    </row>
    <row r="273" spans="1:13" hidden="1" x14ac:dyDescent="0.25">
      <c r="A273" s="1168">
        <f t="shared" si="102"/>
        <v>0</v>
      </c>
      <c r="B273" s="293"/>
      <c r="C273" s="1049"/>
      <c r="D273" s="1049"/>
      <c r="E273" s="1052"/>
      <c r="F273" s="1051"/>
      <c r="G273" s="1049"/>
      <c r="H273" s="1050"/>
      <c r="I273" s="1052"/>
      <c r="J273" s="1051"/>
      <c r="K273" s="1049"/>
      <c r="L273" s="1050"/>
      <c r="M273" s="370"/>
    </row>
    <row r="274" spans="1:13" ht="15" hidden="1" customHeight="1" x14ac:dyDescent="0.25">
      <c r="A274" s="1168" t="str">
        <f t="shared" si="102"/>
        <v>Vote 10 - [NAME OF VOTE 10]</v>
      </c>
      <c r="B274" s="293"/>
      <c r="C274" s="976">
        <f t="shared" ref="C274:L274" si="106">SUM(C275:C284)</f>
        <v>0</v>
      </c>
      <c r="D274" s="976">
        <f t="shared" si="106"/>
        <v>0</v>
      </c>
      <c r="E274" s="977">
        <f t="shared" si="106"/>
        <v>0</v>
      </c>
      <c r="F274" s="978">
        <f t="shared" si="106"/>
        <v>0</v>
      </c>
      <c r="G274" s="976">
        <f t="shared" si="106"/>
        <v>0</v>
      </c>
      <c r="H274" s="977">
        <f t="shared" si="106"/>
        <v>0</v>
      </c>
      <c r="I274" s="979">
        <f t="shared" si="106"/>
        <v>0</v>
      </c>
      <c r="J274" s="978">
        <f t="shared" si="106"/>
        <v>0</v>
      </c>
      <c r="K274" s="976">
        <f t="shared" si="106"/>
        <v>0</v>
      </c>
      <c r="L274" s="977">
        <f t="shared" si="106"/>
        <v>0</v>
      </c>
      <c r="M274" s="370"/>
    </row>
    <row r="275" spans="1:13" hidden="1" x14ac:dyDescent="0.25">
      <c r="A275" s="1168" t="str">
        <f t="shared" si="102"/>
        <v>10.1 - [Name of sub-vote]</v>
      </c>
      <c r="B275" s="293"/>
      <c r="C275" s="1049"/>
      <c r="D275" s="1049"/>
      <c r="E275" s="1052"/>
      <c r="F275" s="1051"/>
      <c r="G275" s="1049"/>
      <c r="H275" s="1050"/>
      <c r="I275" s="1052"/>
      <c r="J275" s="1051"/>
      <c r="K275" s="1049"/>
      <c r="L275" s="1050"/>
      <c r="M275" s="370"/>
    </row>
    <row r="276" spans="1:13" hidden="1" x14ac:dyDescent="0.25">
      <c r="A276" s="1168">
        <f t="shared" si="102"/>
        <v>0</v>
      </c>
      <c r="B276" s="293"/>
      <c r="C276" s="1049"/>
      <c r="D276" s="1049"/>
      <c r="E276" s="1052"/>
      <c r="F276" s="1051"/>
      <c r="G276" s="1049"/>
      <c r="H276" s="1050"/>
      <c r="I276" s="1052"/>
      <c r="J276" s="1051"/>
      <c r="K276" s="1049"/>
      <c r="L276" s="1050"/>
      <c r="M276" s="370"/>
    </row>
    <row r="277" spans="1:13" hidden="1" x14ac:dyDescent="0.25">
      <c r="A277" s="1168">
        <f t="shared" si="102"/>
        <v>0</v>
      </c>
      <c r="B277" s="293"/>
      <c r="C277" s="1049"/>
      <c r="D277" s="1049"/>
      <c r="E277" s="1052"/>
      <c r="F277" s="1051"/>
      <c r="G277" s="1049"/>
      <c r="H277" s="1050"/>
      <c r="I277" s="1052"/>
      <c r="J277" s="1051"/>
      <c r="K277" s="1049"/>
      <c r="L277" s="1050"/>
      <c r="M277" s="370"/>
    </row>
    <row r="278" spans="1:13" hidden="1" x14ac:dyDescent="0.25">
      <c r="A278" s="1168">
        <f t="shared" si="102"/>
        <v>0</v>
      </c>
      <c r="B278" s="293"/>
      <c r="C278" s="1049"/>
      <c r="D278" s="1049"/>
      <c r="E278" s="1052"/>
      <c r="F278" s="1051"/>
      <c r="G278" s="1049"/>
      <c r="H278" s="1050"/>
      <c r="I278" s="1052"/>
      <c r="J278" s="1051"/>
      <c r="K278" s="1049"/>
      <c r="L278" s="1050"/>
      <c r="M278" s="370"/>
    </row>
    <row r="279" spans="1:13" hidden="1" x14ac:dyDescent="0.25">
      <c r="A279" s="1168">
        <f t="shared" si="102"/>
        <v>0</v>
      </c>
      <c r="B279" s="293"/>
      <c r="C279" s="1049"/>
      <c r="D279" s="1049"/>
      <c r="E279" s="1052"/>
      <c r="F279" s="1051"/>
      <c r="G279" s="1049"/>
      <c r="H279" s="1050"/>
      <c r="I279" s="1052"/>
      <c r="J279" s="1051"/>
      <c r="K279" s="1049"/>
      <c r="L279" s="1050"/>
      <c r="M279" s="370"/>
    </row>
    <row r="280" spans="1:13" hidden="1" x14ac:dyDescent="0.25">
      <c r="A280" s="1168">
        <f t="shared" si="102"/>
        <v>0</v>
      </c>
      <c r="B280" s="293"/>
      <c r="C280" s="1049"/>
      <c r="D280" s="1049"/>
      <c r="E280" s="1052"/>
      <c r="F280" s="1051"/>
      <c r="G280" s="1049"/>
      <c r="H280" s="1050"/>
      <c r="I280" s="1052"/>
      <c r="J280" s="1051"/>
      <c r="K280" s="1049"/>
      <c r="L280" s="1050"/>
      <c r="M280" s="370"/>
    </row>
    <row r="281" spans="1:13" hidden="1" x14ac:dyDescent="0.25">
      <c r="A281" s="1168">
        <f t="shared" si="102"/>
        <v>0</v>
      </c>
      <c r="B281" s="293"/>
      <c r="C281" s="1049"/>
      <c r="D281" s="1049"/>
      <c r="E281" s="1052"/>
      <c r="F281" s="1051"/>
      <c r="G281" s="1049"/>
      <c r="H281" s="1050"/>
      <c r="I281" s="1052"/>
      <c r="J281" s="1051"/>
      <c r="K281" s="1049"/>
      <c r="L281" s="1050"/>
      <c r="M281" s="370"/>
    </row>
    <row r="282" spans="1:13" hidden="1" x14ac:dyDescent="0.25">
      <c r="A282" s="1168">
        <f t="shared" si="102"/>
        <v>0</v>
      </c>
      <c r="B282" s="293"/>
      <c r="C282" s="1049"/>
      <c r="D282" s="1049"/>
      <c r="E282" s="1052"/>
      <c r="F282" s="1051"/>
      <c r="G282" s="1049"/>
      <c r="H282" s="1050"/>
      <c r="I282" s="1052"/>
      <c r="J282" s="1051"/>
      <c r="K282" s="1049"/>
      <c r="L282" s="1050"/>
      <c r="M282" s="370"/>
    </row>
    <row r="283" spans="1:13" hidden="1" x14ac:dyDescent="0.25">
      <c r="A283" s="1168">
        <f t="shared" si="102"/>
        <v>0</v>
      </c>
      <c r="B283" s="293"/>
      <c r="C283" s="1049"/>
      <c r="D283" s="1049"/>
      <c r="E283" s="1052"/>
      <c r="F283" s="1051"/>
      <c r="G283" s="1049"/>
      <c r="H283" s="1050"/>
      <c r="I283" s="1052"/>
      <c r="J283" s="1051"/>
      <c r="K283" s="1049"/>
      <c r="L283" s="1050"/>
      <c r="M283" s="370"/>
    </row>
    <row r="284" spans="1:13" hidden="1" x14ac:dyDescent="0.25">
      <c r="A284" s="1168">
        <f t="shared" si="102"/>
        <v>0</v>
      </c>
      <c r="B284" s="293"/>
      <c r="C284" s="1049"/>
      <c r="D284" s="1049"/>
      <c r="E284" s="1052"/>
      <c r="F284" s="1051"/>
      <c r="G284" s="1049"/>
      <c r="H284" s="1050"/>
      <c r="I284" s="1052"/>
      <c r="J284" s="1051"/>
      <c r="K284" s="1049"/>
      <c r="L284" s="1050"/>
      <c r="M284" s="370"/>
    </row>
    <row r="285" spans="1:13" ht="15" hidden="1" customHeight="1" x14ac:dyDescent="0.25">
      <c r="A285" s="1168" t="str">
        <f t="shared" si="102"/>
        <v>Vote 11 - [NAME OF VOTE 11]</v>
      </c>
      <c r="B285" s="293"/>
      <c r="C285" s="976">
        <f t="shared" ref="C285:L285" si="107">SUM(C286:C295)</f>
        <v>0</v>
      </c>
      <c r="D285" s="976">
        <f t="shared" si="107"/>
        <v>0</v>
      </c>
      <c r="E285" s="977">
        <f t="shared" si="107"/>
        <v>0</v>
      </c>
      <c r="F285" s="978">
        <f t="shared" si="107"/>
        <v>0</v>
      </c>
      <c r="G285" s="976">
        <f t="shared" si="107"/>
        <v>0</v>
      </c>
      <c r="H285" s="977">
        <f t="shared" si="107"/>
        <v>0</v>
      </c>
      <c r="I285" s="979">
        <f t="shared" si="107"/>
        <v>0</v>
      </c>
      <c r="J285" s="978">
        <f t="shared" si="107"/>
        <v>0</v>
      </c>
      <c r="K285" s="976">
        <f t="shared" si="107"/>
        <v>0</v>
      </c>
      <c r="L285" s="977">
        <f t="shared" si="107"/>
        <v>0</v>
      </c>
      <c r="M285" s="370"/>
    </row>
    <row r="286" spans="1:13" hidden="1" x14ac:dyDescent="0.25">
      <c r="A286" s="1168" t="str">
        <f t="shared" si="102"/>
        <v>11.1 - [Name of sub-vote]</v>
      </c>
      <c r="B286" s="293"/>
      <c r="C286" s="1049"/>
      <c r="D286" s="1049"/>
      <c r="E286" s="1052"/>
      <c r="F286" s="1051"/>
      <c r="G286" s="1049"/>
      <c r="H286" s="1050"/>
      <c r="I286" s="1052"/>
      <c r="J286" s="1051"/>
      <c r="K286" s="1049"/>
      <c r="L286" s="1050"/>
      <c r="M286" s="370"/>
    </row>
    <row r="287" spans="1:13" hidden="1" x14ac:dyDescent="0.25">
      <c r="A287" s="1168">
        <f t="shared" si="102"/>
        <v>0</v>
      </c>
      <c r="B287" s="293"/>
      <c r="C287" s="1049"/>
      <c r="D287" s="1049"/>
      <c r="E287" s="1052"/>
      <c r="F287" s="1051"/>
      <c r="G287" s="1049"/>
      <c r="H287" s="1050"/>
      <c r="I287" s="1052"/>
      <c r="J287" s="1051"/>
      <c r="K287" s="1049"/>
      <c r="L287" s="1050"/>
      <c r="M287" s="370"/>
    </row>
    <row r="288" spans="1:13" hidden="1" x14ac:dyDescent="0.25">
      <c r="A288" s="1168">
        <f t="shared" si="102"/>
        <v>0</v>
      </c>
      <c r="B288" s="293"/>
      <c r="C288" s="1049"/>
      <c r="D288" s="1049"/>
      <c r="E288" s="1052"/>
      <c r="F288" s="1051"/>
      <c r="G288" s="1049"/>
      <c r="H288" s="1050"/>
      <c r="I288" s="1052"/>
      <c r="J288" s="1051"/>
      <c r="K288" s="1049"/>
      <c r="L288" s="1050"/>
      <c r="M288" s="370"/>
    </row>
    <row r="289" spans="1:13" hidden="1" x14ac:dyDescent="0.25">
      <c r="A289" s="1168">
        <f t="shared" si="102"/>
        <v>0</v>
      </c>
      <c r="B289" s="293"/>
      <c r="C289" s="1049"/>
      <c r="D289" s="1049"/>
      <c r="E289" s="1052"/>
      <c r="F289" s="1051"/>
      <c r="G289" s="1049"/>
      <c r="H289" s="1050"/>
      <c r="I289" s="1052"/>
      <c r="J289" s="1051"/>
      <c r="K289" s="1049"/>
      <c r="L289" s="1050"/>
      <c r="M289" s="370"/>
    </row>
    <row r="290" spans="1:13" hidden="1" x14ac:dyDescent="0.25">
      <c r="A290" s="1168">
        <f t="shared" si="102"/>
        <v>0</v>
      </c>
      <c r="B290" s="293"/>
      <c r="C290" s="1049"/>
      <c r="D290" s="1049"/>
      <c r="E290" s="1052"/>
      <c r="F290" s="1051"/>
      <c r="G290" s="1049"/>
      <c r="H290" s="1050"/>
      <c r="I290" s="1052"/>
      <c r="J290" s="1051"/>
      <c r="K290" s="1049"/>
      <c r="L290" s="1050"/>
      <c r="M290" s="370"/>
    </row>
    <row r="291" spans="1:13" hidden="1" x14ac:dyDescent="0.25">
      <c r="A291" s="1168">
        <f t="shared" si="102"/>
        <v>0</v>
      </c>
      <c r="B291" s="293"/>
      <c r="C291" s="1049"/>
      <c r="D291" s="1049"/>
      <c r="E291" s="1052"/>
      <c r="F291" s="1051"/>
      <c r="G291" s="1049"/>
      <c r="H291" s="1050"/>
      <c r="I291" s="1052"/>
      <c r="J291" s="1051"/>
      <c r="K291" s="1049"/>
      <c r="L291" s="1050"/>
      <c r="M291" s="370"/>
    </row>
    <row r="292" spans="1:13" hidden="1" x14ac:dyDescent="0.25">
      <c r="A292" s="1168">
        <f t="shared" si="102"/>
        <v>0</v>
      </c>
      <c r="B292" s="293"/>
      <c r="C292" s="1049"/>
      <c r="D292" s="1049"/>
      <c r="E292" s="1052"/>
      <c r="F292" s="1051"/>
      <c r="G292" s="1049"/>
      <c r="H292" s="1050"/>
      <c r="I292" s="1052"/>
      <c r="J292" s="1051"/>
      <c r="K292" s="1049"/>
      <c r="L292" s="1050"/>
      <c r="M292" s="370"/>
    </row>
    <row r="293" spans="1:13" hidden="1" x14ac:dyDescent="0.25">
      <c r="A293" s="1168">
        <f t="shared" si="102"/>
        <v>0</v>
      </c>
      <c r="B293" s="293"/>
      <c r="C293" s="1049"/>
      <c r="D293" s="1049"/>
      <c r="E293" s="1052"/>
      <c r="F293" s="1051"/>
      <c r="G293" s="1049"/>
      <c r="H293" s="1050"/>
      <c r="I293" s="1052"/>
      <c r="J293" s="1051"/>
      <c r="K293" s="1049"/>
      <c r="L293" s="1050"/>
      <c r="M293" s="370"/>
    </row>
    <row r="294" spans="1:13" hidden="1" x14ac:dyDescent="0.25">
      <c r="A294" s="1168">
        <f t="shared" si="102"/>
        <v>0</v>
      </c>
      <c r="B294" s="293"/>
      <c r="C294" s="1049"/>
      <c r="D294" s="1049"/>
      <c r="E294" s="1052"/>
      <c r="F294" s="1051"/>
      <c r="G294" s="1049"/>
      <c r="H294" s="1050"/>
      <c r="I294" s="1052"/>
      <c r="J294" s="1051"/>
      <c r="K294" s="1049"/>
      <c r="L294" s="1050"/>
      <c r="M294" s="370"/>
    </row>
    <row r="295" spans="1:13" hidden="1" x14ac:dyDescent="0.25">
      <c r="A295" s="1168">
        <f t="shared" si="102"/>
        <v>0</v>
      </c>
      <c r="B295" s="293"/>
      <c r="C295" s="1049"/>
      <c r="D295" s="1049"/>
      <c r="E295" s="1052"/>
      <c r="F295" s="1051"/>
      <c r="G295" s="1049"/>
      <c r="H295" s="1050"/>
      <c r="I295" s="1052"/>
      <c r="J295" s="1051"/>
      <c r="K295" s="1049"/>
      <c r="L295" s="1050"/>
      <c r="M295" s="370"/>
    </row>
    <row r="296" spans="1:13" ht="15" hidden="1" customHeight="1" x14ac:dyDescent="0.25">
      <c r="A296" s="1168" t="str">
        <f t="shared" si="102"/>
        <v>Vote 12 - [NAME OF VOTE 12]</v>
      </c>
      <c r="B296" s="293"/>
      <c r="C296" s="976">
        <f t="shared" ref="C296:L296" si="108">SUM(C297:C306)</f>
        <v>0</v>
      </c>
      <c r="D296" s="976">
        <f t="shared" si="108"/>
        <v>0</v>
      </c>
      <c r="E296" s="977">
        <f t="shared" si="108"/>
        <v>0</v>
      </c>
      <c r="F296" s="978">
        <f t="shared" si="108"/>
        <v>0</v>
      </c>
      <c r="G296" s="976">
        <f t="shared" si="108"/>
        <v>0</v>
      </c>
      <c r="H296" s="977">
        <f t="shared" si="108"/>
        <v>0</v>
      </c>
      <c r="I296" s="979">
        <f t="shared" si="108"/>
        <v>0</v>
      </c>
      <c r="J296" s="978">
        <f t="shared" si="108"/>
        <v>0</v>
      </c>
      <c r="K296" s="976">
        <f t="shared" si="108"/>
        <v>0</v>
      </c>
      <c r="L296" s="977">
        <f t="shared" si="108"/>
        <v>0</v>
      </c>
      <c r="M296" s="370"/>
    </row>
    <row r="297" spans="1:13" hidden="1" x14ac:dyDescent="0.25">
      <c r="A297" s="1168" t="str">
        <f t="shared" si="102"/>
        <v>12.1 - [Name of sub-vote]</v>
      </c>
      <c r="B297" s="293"/>
      <c r="C297" s="1049"/>
      <c r="D297" s="1049"/>
      <c r="E297" s="1052"/>
      <c r="F297" s="1051"/>
      <c r="G297" s="1049"/>
      <c r="H297" s="1050"/>
      <c r="I297" s="1052"/>
      <c r="J297" s="1051"/>
      <c r="K297" s="1049"/>
      <c r="L297" s="1050"/>
      <c r="M297" s="370"/>
    </row>
    <row r="298" spans="1:13" hidden="1" x14ac:dyDescent="0.25">
      <c r="A298" s="1168">
        <f t="shared" si="102"/>
        <v>0</v>
      </c>
      <c r="B298" s="293"/>
      <c r="C298" s="1049"/>
      <c r="D298" s="1049"/>
      <c r="E298" s="1052"/>
      <c r="F298" s="1051"/>
      <c r="G298" s="1049"/>
      <c r="H298" s="1050"/>
      <c r="I298" s="1052"/>
      <c r="J298" s="1051"/>
      <c r="K298" s="1049"/>
      <c r="L298" s="1050"/>
      <c r="M298" s="370"/>
    </row>
    <row r="299" spans="1:13" hidden="1" x14ac:dyDescent="0.25">
      <c r="A299" s="1168">
        <f t="shared" si="102"/>
        <v>0</v>
      </c>
      <c r="B299" s="293"/>
      <c r="C299" s="1049"/>
      <c r="D299" s="1049"/>
      <c r="E299" s="1052"/>
      <c r="F299" s="1051"/>
      <c r="G299" s="1049"/>
      <c r="H299" s="1050"/>
      <c r="I299" s="1052"/>
      <c r="J299" s="1051"/>
      <c r="K299" s="1049"/>
      <c r="L299" s="1050"/>
      <c r="M299" s="370"/>
    </row>
    <row r="300" spans="1:13" hidden="1" x14ac:dyDescent="0.25">
      <c r="A300" s="1168">
        <f t="shared" si="102"/>
        <v>0</v>
      </c>
      <c r="B300" s="293"/>
      <c r="C300" s="1049"/>
      <c r="D300" s="1049"/>
      <c r="E300" s="1052"/>
      <c r="F300" s="1051"/>
      <c r="G300" s="1049"/>
      <c r="H300" s="1050"/>
      <c r="I300" s="1052"/>
      <c r="J300" s="1051"/>
      <c r="K300" s="1049"/>
      <c r="L300" s="1050"/>
      <c r="M300" s="370"/>
    </row>
    <row r="301" spans="1:13" hidden="1" x14ac:dyDescent="0.25">
      <c r="A301" s="1168">
        <f t="shared" si="102"/>
        <v>0</v>
      </c>
      <c r="B301" s="293"/>
      <c r="C301" s="1049"/>
      <c r="D301" s="1049"/>
      <c r="E301" s="1052"/>
      <c r="F301" s="1051"/>
      <c r="G301" s="1049"/>
      <c r="H301" s="1050"/>
      <c r="I301" s="1052"/>
      <c r="J301" s="1051"/>
      <c r="K301" s="1049"/>
      <c r="L301" s="1050"/>
      <c r="M301" s="370"/>
    </row>
    <row r="302" spans="1:13" hidden="1" x14ac:dyDescent="0.25">
      <c r="A302" s="1168">
        <f t="shared" si="102"/>
        <v>0</v>
      </c>
      <c r="B302" s="293"/>
      <c r="C302" s="1049"/>
      <c r="D302" s="1049"/>
      <c r="E302" s="1052"/>
      <c r="F302" s="1051"/>
      <c r="G302" s="1049"/>
      <c r="H302" s="1050"/>
      <c r="I302" s="1052"/>
      <c r="J302" s="1051"/>
      <c r="K302" s="1049"/>
      <c r="L302" s="1050"/>
      <c r="M302" s="370"/>
    </row>
    <row r="303" spans="1:13" hidden="1" x14ac:dyDescent="0.25">
      <c r="A303" s="1168">
        <f t="shared" si="102"/>
        <v>0</v>
      </c>
      <c r="B303" s="293"/>
      <c r="C303" s="1049"/>
      <c r="D303" s="1049"/>
      <c r="E303" s="1052"/>
      <c r="F303" s="1051"/>
      <c r="G303" s="1049"/>
      <c r="H303" s="1050"/>
      <c r="I303" s="1052"/>
      <c r="J303" s="1051"/>
      <c r="K303" s="1049"/>
      <c r="L303" s="1050"/>
      <c r="M303" s="370"/>
    </row>
    <row r="304" spans="1:13" hidden="1" x14ac:dyDescent="0.25">
      <c r="A304" s="1168">
        <f t="shared" ref="A304:A339" si="109">A135</f>
        <v>0</v>
      </c>
      <c r="B304" s="293"/>
      <c r="C304" s="1049"/>
      <c r="D304" s="1049"/>
      <c r="E304" s="1052"/>
      <c r="F304" s="1051"/>
      <c r="G304" s="1049"/>
      <c r="H304" s="1050"/>
      <c r="I304" s="1052"/>
      <c r="J304" s="1051"/>
      <c r="K304" s="1049"/>
      <c r="L304" s="1050"/>
      <c r="M304" s="370"/>
    </row>
    <row r="305" spans="1:13" hidden="1" x14ac:dyDescent="0.25">
      <c r="A305" s="1168">
        <f t="shared" si="109"/>
        <v>0</v>
      </c>
      <c r="B305" s="293"/>
      <c r="C305" s="1049"/>
      <c r="D305" s="1049"/>
      <c r="E305" s="1052"/>
      <c r="F305" s="1051"/>
      <c r="G305" s="1049"/>
      <c r="H305" s="1050"/>
      <c r="I305" s="1052"/>
      <c r="J305" s="1051"/>
      <c r="K305" s="1049"/>
      <c r="L305" s="1050"/>
      <c r="M305" s="370"/>
    </row>
    <row r="306" spans="1:13" hidden="1" x14ac:dyDescent="0.25">
      <c r="A306" s="1168">
        <f t="shared" si="109"/>
        <v>0</v>
      </c>
      <c r="B306" s="293"/>
      <c r="C306" s="1049"/>
      <c r="D306" s="1049"/>
      <c r="E306" s="1052"/>
      <c r="F306" s="1051"/>
      <c r="G306" s="1049"/>
      <c r="H306" s="1050"/>
      <c r="I306" s="1052"/>
      <c r="J306" s="1051"/>
      <c r="K306" s="1049"/>
      <c r="L306" s="1050"/>
      <c r="M306" s="370"/>
    </row>
    <row r="307" spans="1:13" ht="15" hidden="1" customHeight="1" x14ac:dyDescent="0.25">
      <c r="A307" s="1168" t="str">
        <f t="shared" si="109"/>
        <v>Vote 13 - [NAME OF VOTE 13]</v>
      </c>
      <c r="B307" s="293"/>
      <c r="C307" s="976">
        <f t="shared" ref="C307:L307" si="110">SUM(C308:C317)</f>
        <v>0</v>
      </c>
      <c r="D307" s="976">
        <f t="shared" si="110"/>
        <v>0</v>
      </c>
      <c r="E307" s="977">
        <f t="shared" si="110"/>
        <v>0</v>
      </c>
      <c r="F307" s="978">
        <f t="shared" si="110"/>
        <v>0</v>
      </c>
      <c r="G307" s="976">
        <f t="shared" si="110"/>
        <v>0</v>
      </c>
      <c r="H307" s="977">
        <f t="shared" si="110"/>
        <v>0</v>
      </c>
      <c r="I307" s="979">
        <f t="shared" si="110"/>
        <v>0</v>
      </c>
      <c r="J307" s="978">
        <f t="shared" si="110"/>
        <v>0</v>
      </c>
      <c r="K307" s="976">
        <f t="shared" si="110"/>
        <v>0</v>
      </c>
      <c r="L307" s="977">
        <f t="shared" si="110"/>
        <v>0</v>
      </c>
      <c r="M307" s="370"/>
    </row>
    <row r="308" spans="1:13" hidden="1" x14ac:dyDescent="0.25">
      <c r="A308" s="1168" t="str">
        <f t="shared" si="109"/>
        <v>13.1 - [Name of sub-vote]</v>
      </c>
      <c r="B308" s="293"/>
      <c r="C308" s="1049"/>
      <c r="D308" s="1049"/>
      <c r="E308" s="1052"/>
      <c r="F308" s="1051"/>
      <c r="G308" s="1049"/>
      <c r="H308" s="1050"/>
      <c r="I308" s="1052"/>
      <c r="J308" s="1051"/>
      <c r="K308" s="1049"/>
      <c r="L308" s="1050"/>
      <c r="M308" s="370"/>
    </row>
    <row r="309" spans="1:13" hidden="1" x14ac:dyDescent="0.25">
      <c r="A309" s="1168">
        <f t="shared" si="109"/>
        <v>0</v>
      </c>
      <c r="B309" s="293"/>
      <c r="C309" s="1049"/>
      <c r="D309" s="1049"/>
      <c r="E309" s="1052"/>
      <c r="F309" s="1051"/>
      <c r="G309" s="1049"/>
      <c r="H309" s="1050"/>
      <c r="I309" s="1052"/>
      <c r="J309" s="1051"/>
      <c r="K309" s="1049"/>
      <c r="L309" s="1050"/>
      <c r="M309" s="370"/>
    </row>
    <row r="310" spans="1:13" hidden="1" x14ac:dyDescent="0.25">
      <c r="A310" s="1168">
        <f t="shared" si="109"/>
        <v>0</v>
      </c>
      <c r="B310" s="293"/>
      <c r="C310" s="1049"/>
      <c r="D310" s="1049"/>
      <c r="E310" s="1052"/>
      <c r="F310" s="1051"/>
      <c r="G310" s="1049"/>
      <c r="H310" s="1050"/>
      <c r="I310" s="1052"/>
      <c r="J310" s="1051"/>
      <c r="K310" s="1049"/>
      <c r="L310" s="1050"/>
      <c r="M310" s="370"/>
    </row>
    <row r="311" spans="1:13" hidden="1" x14ac:dyDescent="0.25">
      <c r="A311" s="1168">
        <f t="shared" si="109"/>
        <v>0</v>
      </c>
      <c r="B311" s="293"/>
      <c r="C311" s="1049"/>
      <c r="D311" s="1049"/>
      <c r="E311" s="1052"/>
      <c r="F311" s="1051"/>
      <c r="G311" s="1049"/>
      <c r="H311" s="1050"/>
      <c r="I311" s="1052"/>
      <c r="J311" s="1051"/>
      <c r="K311" s="1049"/>
      <c r="L311" s="1050"/>
      <c r="M311" s="370"/>
    </row>
    <row r="312" spans="1:13" hidden="1" x14ac:dyDescent="0.25">
      <c r="A312" s="1168">
        <f t="shared" si="109"/>
        <v>0</v>
      </c>
      <c r="B312" s="293"/>
      <c r="C312" s="1049"/>
      <c r="D312" s="1049"/>
      <c r="E312" s="1052"/>
      <c r="F312" s="1051"/>
      <c r="G312" s="1049"/>
      <c r="H312" s="1050"/>
      <c r="I312" s="1052"/>
      <c r="J312" s="1051"/>
      <c r="K312" s="1049"/>
      <c r="L312" s="1050"/>
      <c r="M312" s="370"/>
    </row>
    <row r="313" spans="1:13" hidden="1" x14ac:dyDescent="0.25">
      <c r="A313" s="1168">
        <f t="shared" si="109"/>
        <v>0</v>
      </c>
      <c r="B313" s="293"/>
      <c r="C313" s="1049"/>
      <c r="D313" s="1049"/>
      <c r="E313" s="1052"/>
      <c r="F313" s="1051"/>
      <c r="G313" s="1049"/>
      <c r="H313" s="1050"/>
      <c r="I313" s="1052"/>
      <c r="J313" s="1051"/>
      <c r="K313" s="1049"/>
      <c r="L313" s="1050"/>
      <c r="M313" s="370"/>
    </row>
    <row r="314" spans="1:13" hidden="1" x14ac:dyDescent="0.25">
      <c r="A314" s="1168">
        <f t="shared" si="109"/>
        <v>0</v>
      </c>
      <c r="B314" s="293"/>
      <c r="C314" s="1049"/>
      <c r="D314" s="1049"/>
      <c r="E314" s="1052"/>
      <c r="F314" s="1051"/>
      <c r="G314" s="1049"/>
      <c r="H314" s="1050"/>
      <c r="I314" s="1052"/>
      <c r="J314" s="1051"/>
      <c r="K314" s="1049"/>
      <c r="L314" s="1050"/>
      <c r="M314" s="370"/>
    </row>
    <row r="315" spans="1:13" hidden="1" x14ac:dyDescent="0.25">
      <c r="A315" s="1168">
        <f t="shared" si="109"/>
        <v>0</v>
      </c>
      <c r="B315" s="293"/>
      <c r="C315" s="1049"/>
      <c r="D315" s="1049"/>
      <c r="E315" s="1052"/>
      <c r="F315" s="1051"/>
      <c r="G315" s="1049"/>
      <c r="H315" s="1050"/>
      <c r="I315" s="1052"/>
      <c r="J315" s="1051"/>
      <c r="K315" s="1049"/>
      <c r="L315" s="1050"/>
      <c r="M315" s="370"/>
    </row>
    <row r="316" spans="1:13" hidden="1" x14ac:dyDescent="0.25">
      <c r="A316" s="1168">
        <f t="shared" si="109"/>
        <v>0</v>
      </c>
      <c r="B316" s="293"/>
      <c r="C316" s="1049"/>
      <c r="D316" s="1049"/>
      <c r="E316" s="1052"/>
      <c r="F316" s="1051"/>
      <c r="G316" s="1049"/>
      <c r="H316" s="1050"/>
      <c r="I316" s="1052"/>
      <c r="J316" s="1051"/>
      <c r="K316" s="1049"/>
      <c r="L316" s="1050"/>
      <c r="M316" s="370"/>
    </row>
    <row r="317" spans="1:13" hidden="1" x14ac:dyDescent="0.25">
      <c r="A317" s="1168">
        <f t="shared" si="109"/>
        <v>0</v>
      </c>
      <c r="B317" s="293"/>
      <c r="C317" s="1049"/>
      <c r="D317" s="1049"/>
      <c r="E317" s="1052"/>
      <c r="F317" s="1051"/>
      <c r="G317" s="1049"/>
      <c r="H317" s="1050"/>
      <c r="I317" s="1052"/>
      <c r="J317" s="1051"/>
      <c r="K317" s="1049"/>
      <c r="L317" s="1050"/>
      <c r="M317" s="370"/>
    </row>
    <row r="318" spans="1:13" ht="15" hidden="1" customHeight="1" x14ac:dyDescent="0.25">
      <c r="A318" s="1168" t="str">
        <f t="shared" si="109"/>
        <v>Vote 14 - [NAME OF VOTE 14]</v>
      </c>
      <c r="B318" s="293"/>
      <c r="C318" s="976">
        <f t="shared" ref="C318:L318" si="111">SUM(C319:C328)</f>
        <v>0</v>
      </c>
      <c r="D318" s="976">
        <f t="shared" si="111"/>
        <v>0</v>
      </c>
      <c r="E318" s="977">
        <f t="shared" si="111"/>
        <v>0</v>
      </c>
      <c r="F318" s="978">
        <f t="shared" si="111"/>
        <v>0</v>
      </c>
      <c r="G318" s="976">
        <f t="shared" si="111"/>
        <v>0</v>
      </c>
      <c r="H318" s="977">
        <f t="shared" si="111"/>
        <v>0</v>
      </c>
      <c r="I318" s="979">
        <f t="shared" si="111"/>
        <v>0</v>
      </c>
      <c r="J318" s="978">
        <f t="shared" si="111"/>
        <v>0</v>
      </c>
      <c r="K318" s="976">
        <f t="shared" si="111"/>
        <v>0</v>
      </c>
      <c r="L318" s="977">
        <f t="shared" si="111"/>
        <v>0</v>
      </c>
      <c r="M318" s="370"/>
    </row>
    <row r="319" spans="1:13" hidden="1" x14ac:dyDescent="0.25">
      <c r="A319" s="1168" t="str">
        <f t="shared" si="109"/>
        <v>14.1 - [Name of sub-vote]</v>
      </c>
      <c r="B319" s="293"/>
      <c r="C319" s="1049"/>
      <c r="D319" s="1049"/>
      <c r="E319" s="1052"/>
      <c r="F319" s="1051"/>
      <c r="G319" s="1049"/>
      <c r="H319" s="1050"/>
      <c r="I319" s="1052"/>
      <c r="J319" s="1051"/>
      <c r="K319" s="1049"/>
      <c r="L319" s="1050"/>
      <c r="M319" s="370"/>
    </row>
    <row r="320" spans="1:13" hidden="1" x14ac:dyDescent="0.25">
      <c r="A320" s="1168">
        <f t="shared" si="109"/>
        <v>0</v>
      </c>
      <c r="B320" s="293"/>
      <c r="C320" s="1049"/>
      <c r="D320" s="1049"/>
      <c r="E320" s="1052"/>
      <c r="F320" s="1051"/>
      <c r="G320" s="1049"/>
      <c r="H320" s="1050"/>
      <c r="I320" s="1052"/>
      <c r="J320" s="1051"/>
      <c r="K320" s="1049"/>
      <c r="L320" s="1050"/>
      <c r="M320" s="370"/>
    </row>
    <row r="321" spans="1:13" hidden="1" x14ac:dyDescent="0.25">
      <c r="A321" s="1168">
        <f t="shared" si="109"/>
        <v>0</v>
      </c>
      <c r="B321" s="293"/>
      <c r="C321" s="1049"/>
      <c r="D321" s="1049"/>
      <c r="E321" s="1052"/>
      <c r="F321" s="1051"/>
      <c r="G321" s="1049"/>
      <c r="H321" s="1050"/>
      <c r="I321" s="1052"/>
      <c r="J321" s="1051"/>
      <c r="K321" s="1049"/>
      <c r="L321" s="1050"/>
      <c r="M321" s="370"/>
    </row>
    <row r="322" spans="1:13" hidden="1" x14ac:dyDescent="0.25">
      <c r="A322" s="1168">
        <f t="shared" si="109"/>
        <v>0</v>
      </c>
      <c r="B322" s="293"/>
      <c r="C322" s="1049"/>
      <c r="D322" s="1049"/>
      <c r="E322" s="1052"/>
      <c r="F322" s="1051"/>
      <c r="G322" s="1049"/>
      <c r="H322" s="1050"/>
      <c r="I322" s="1052"/>
      <c r="J322" s="1051"/>
      <c r="K322" s="1049"/>
      <c r="L322" s="1050"/>
      <c r="M322" s="370"/>
    </row>
    <row r="323" spans="1:13" hidden="1" x14ac:dyDescent="0.25">
      <c r="A323" s="1168">
        <f t="shared" si="109"/>
        <v>0</v>
      </c>
      <c r="B323" s="293"/>
      <c r="C323" s="1049"/>
      <c r="D323" s="1049"/>
      <c r="E323" s="1052"/>
      <c r="F323" s="1051"/>
      <c r="G323" s="1049"/>
      <c r="H323" s="1050"/>
      <c r="I323" s="1052"/>
      <c r="J323" s="1051"/>
      <c r="K323" s="1049"/>
      <c r="L323" s="1050"/>
      <c r="M323" s="370"/>
    </row>
    <row r="324" spans="1:13" hidden="1" x14ac:dyDescent="0.25">
      <c r="A324" s="1168">
        <f t="shared" si="109"/>
        <v>0</v>
      </c>
      <c r="B324" s="293"/>
      <c r="C324" s="1049"/>
      <c r="D324" s="1049"/>
      <c r="E324" s="1052"/>
      <c r="F324" s="1051"/>
      <c r="G324" s="1049"/>
      <c r="H324" s="1050"/>
      <c r="I324" s="1052"/>
      <c r="J324" s="1051"/>
      <c r="K324" s="1049"/>
      <c r="L324" s="1050"/>
      <c r="M324" s="370"/>
    </row>
    <row r="325" spans="1:13" hidden="1" x14ac:dyDescent="0.25">
      <c r="A325" s="1168">
        <f t="shared" si="109"/>
        <v>0</v>
      </c>
      <c r="B325" s="293"/>
      <c r="C325" s="1049"/>
      <c r="D325" s="1049"/>
      <c r="E325" s="1052"/>
      <c r="F325" s="1051"/>
      <c r="G325" s="1049"/>
      <c r="H325" s="1050"/>
      <c r="I325" s="1052"/>
      <c r="J325" s="1051"/>
      <c r="K325" s="1049"/>
      <c r="L325" s="1050"/>
      <c r="M325" s="370"/>
    </row>
    <row r="326" spans="1:13" hidden="1" x14ac:dyDescent="0.25">
      <c r="A326" s="1168">
        <f t="shared" si="109"/>
        <v>0</v>
      </c>
      <c r="B326" s="293"/>
      <c r="C326" s="1049"/>
      <c r="D326" s="1049"/>
      <c r="E326" s="1052"/>
      <c r="F326" s="1051"/>
      <c r="G326" s="1049"/>
      <c r="H326" s="1050"/>
      <c r="I326" s="1052"/>
      <c r="J326" s="1051"/>
      <c r="K326" s="1049"/>
      <c r="L326" s="1050"/>
      <c r="M326" s="370"/>
    </row>
    <row r="327" spans="1:13" hidden="1" x14ac:dyDescent="0.25">
      <c r="A327" s="1168">
        <f t="shared" si="109"/>
        <v>0</v>
      </c>
      <c r="B327" s="293"/>
      <c r="C327" s="1049"/>
      <c r="D327" s="1049"/>
      <c r="E327" s="1052"/>
      <c r="F327" s="1051"/>
      <c r="G327" s="1049"/>
      <c r="H327" s="1050"/>
      <c r="I327" s="1052"/>
      <c r="J327" s="1051"/>
      <c r="K327" s="1049"/>
      <c r="L327" s="1050"/>
      <c r="M327" s="370"/>
    </row>
    <row r="328" spans="1:13" hidden="1" x14ac:dyDescent="0.25">
      <c r="A328" s="1168">
        <f t="shared" si="109"/>
        <v>0</v>
      </c>
      <c r="B328" s="293"/>
      <c r="C328" s="1049"/>
      <c r="D328" s="1049"/>
      <c r="E328" s="1052"/>
      <c r="F328" s="1051"/>
      <c r="G328" s="1049"/>
      <c r="H328" s="1050"/>
      <c r="I328" s="1052"/>
      <c r="J328" s="1051"/>
      <c r="K328" s="1049"/>
      <c r="L328" s="1050"/>
      <c r="M328" s="370"/>
    </row>
    <row r="329" spans="1:13" ht="15" hidden="1" customHeight="1" x14ac:dyDescent="0.25">
      <c r="A329" s="1168" t="str">
        <f t="shared" si="109"/>
        <v>Vote 15 - [NAME OF VOTE 15]</v>
      </c>
      <c r="B329" s="293"/>
      <c r="C329" s="976">
        <f t="shared" ref="C329:L329" si="112">SUM(C330:C339)</f>
        <v>0</v>
      </c>
      <c r="D329" s="976">
        <f t="shared" si="112"/>
        <v>0</v>
      </c>
      <c r="E329" s="977">
        <f t="shared" si="112"/>
        <v>0</v>
      </c>
      <c r="F329" s="978">
        <f t="shared" si="112"/>
        <v>0</v>
      </c>
      <c r="G329" s="976">
        <f t="shared" si="112"/>
        <v>0</v>
      </c>
      <c r="H329" s="977">
        <f t="shared" si="112"/>
        <v>0</v>
      </c>
      <c r="I329" s="979">
        <f t="shared" si="112"/>
        <v>0</v>
      </c>
      <c r="J329" s="978">
        <f t="shared" si="112"/>
        <v>0</v>
      </c>
      <c r="K329" s="976">
        <f t="shared" si="112"/>
        <v>0</v>
      </c>
      <c r="L329" s="977">
        <f t="shared" si="112"/>
        <v>0</v>
      </c>
      <c r="M329" s="370"/>
    </row>
    <row r="330" spans="1:13" hidden="1" x14ac:dyDescent="0.25">
      <c r="A330" s="1168" t="str">
        <f t="shared" si="109"/>
        <v>15.1 - [Name of sub-vote]</v>
      </c>
      <c r="B330" s="293"/>
      <c r="C330" s="1049"/>
      <c r="D330" s="1049"/>
      <c r="E330" s="1052"/>
      <c r="F330" s="1051"/>
      <c r="G330" s="1049"/>
      <c r="H330" s="1050"/>
      <c r="I330" s="1052"/>
      <c r="J330" s="1051"/>
      <c r="K330" s="1049"/>
      <c r="L330" s="1050"/>
      <c r="M330" s="370"/>
    </row>
    <row r="331" spans="1:13" hidden="1" x14ac:dyDescent="0.25">
      <c r="A331" s="1168">
        <f t="shared" si="109"/>
        <v>0</v>
      </c>
      <c r="B331" s="293"/>
      <c r="C331" s="1049"/>
      <c r="D331" s="1049"/>
      <c r="E331" s="1052"/>
      <c r="F331" s="1051"/>
      <c r="G331" s="1049"/>
      <c r="H331" s="1050"/>
      <c r="I331" s="1052"/>
      <c r="J331" s="1051"/>
      <c r="K331" s="1049"/>
      <c r="L331" s="1050"/>
      <c r="M331" s="370"/>
    </row>
    <row r="332" spans="1:13" hidden="1" x14ac:dyDescent="0.25">
      <c r="A332" s="1168">
        <f t="shared" si="109"/>
        <v>0</v>
      </c>
      <c r="B332" s="293"/>
      <c r="C332" s="1049"/>
      <c r="D332" s="1049"/>
      <c r="E332" s="1052"/>
      <c r="F332" s="1051"/>
      <c r="G332" s="1049"/>
      <c r="H332" s="1050"/>
      <c r="I332" s="1052"/>
      <c r="J332" s="1051"/>
      <c r="K332" s="1049"/>
      <c r="L332" s="1050"/>
      <c r="M332" s="370"/>
    </row>
    <row r="333" spans="1:13" hidden="1" x14ac:dyDescent="0.25">
      <c r="A333" s="1168">
        <f t="shared" si="109"/>
        <v>0</v>
      </c>
      <c r="B333" s="293"/>
      <c r="C333" s="1049"/>
      <c r="D333" s="1049"/>
      <c r="E333" s="1052"/>
      <c r="F333" s="1051"/>
      <c r="G333" s="1049"/>
      <c r="H333" s="1050"/>
      <c r="I333" s="1052"/>
      <c r="J333" s="1051"/>
      <c r="K333" s="1049"/>
      <c r="L333" s="1050"/>
      <c r="M333" s="370"/>
    </row>
    <row r="334" spans="1:13" hidden="1" x14ac:dyDescent="0.25">
      <c r="A334" s="1168">
        <f t="shared" si="109"/>
        <v>0</v>
      </c>
      <c r="B334" s="293"/>
      <c r="C334" s="1049"/>
      <c r="D334" s="1049"/>
      <c r="E334" s="1052"/>
      <c r="F334" s="1051"/>
      <c r="G334" s="1049"/>
      <c r="H334" s="1050"/>
      <c r="I334" s="1052"/>
      <c r="J334" s="1051"/>
      <c r="K334" s="1049"/>
      <c r="L334" s="1050"/>
      <c r="M334" s="370"/>
    </row>
    <row r="335" spans="1:13" hidden="1" x14ac:dyDescent="0.25">
      <c r="A335" s="1168">
        <f t="shared" si="109"/>
        <v>0</v>
      </c>
      <c r="B335" s="293"/>
      <c r="C335" s="1049"/>
      <c r="D335" s="1049"/>
      <c r="E335" s="1052"/>
      <c r="F335" s="1051"/>
      <c r="G335" s="1049"/>
      <c r="H335" s="1050"/>
      <c r="I335" s="1052"/>
      <c r="J335" s="1051"/>
      <c r="K335" s="1049"/>
      <c r="L335" s="1050"/>
      <c r="M335" s="370"/>
    </row>
    <row r="336" spans="1:13" hidden="1" x14ac:dyDescent="0.25">
      <c r="A336" s="1168">
        <f t="shared" si="109"/>
        <v>0</v>
      </c>
      <c r="B336" s="293"/>
      <c r="C336" s="1049"/>
      <c r="D336" s="1049"/>
      <c r="E336" s="1052"/>
      <c r="F336" s="1051"/>
      <c r="G336" s="1049"/>
      <c r="H336" s="1050"/>
      <c r="I336" s="1052"/>
      <c r="J336" s="1051"/>
      <c r="K336" s="1049"/>
      <c r="L336" s="1050"/>
      <c r="M336" s="370"/>
    </row>
    <row r="337" spans="1:13" hidden="1" x14ac:dyDescent="0.25">
      <c r="A337" s="1168">
        <f t="shared" si="109"/>
        <v>0</v>
      </c>
      <c r="B337" s="293"/>
      <c r="C337" s="1049"/>
      <c r="D337" s="1049"/>
      <c r="E337" s="1052"/>
      <c r="F337" s="1051"/>
      <c r="G337" s="1049"/>
      <c r="H337" s="1050"/>
      <c r="I337" s="1052"/>
      <c r="J337" s="1051"/>
      <c r="K337" s="1049"/>
      <c r="L337" s="1050"/>
      <c r="M337" s="370"/>
    </row>
    <row r="338" spans="1:13" hidden="1" x14ac:dyDescent="0.25">
      <c r="A338" s="1168">
        <f t="shared" si="109"/>
        <v>0</v>
      </c>
      <c r="B338" s="293"/>
      <c r="C338" s="1049"/>
      <c r="D338" s="1049"/>
      <c r="E338" s="1052"/>
      <c r="F338" s="1051"/>
      <c r="G338" s="1049"/>
      <c r="H338" s="1050"/>
      <c r="I338" s="1052"/>
      <c r="J338" s="1051"/>
      <c r="K338" s="1049"/>
      <c r="L338" s="1050"/>
      <c r="M338" s="370"/>
    </row>
    <row r="339" spans="1:13" hidden="1" x14ac:dyDescent="0.25">
      <c r="A339" s="1168">
        <f t="shared" si="109"/>
        <v>0</v>
      </c>
      <c r="B339" s="293"/>
      <c r="C339" s="1049"/>
      <c r="D339" s="1049"/>
      <c r="E339" s="1052"/>
      <c r="F339" s="1051"/>
      <c r="G339" s="1049"/>
      <c r="H339" s="1050"/>
      <c r="I339" s="1052"/>
      <c r="J339" s="1051"/>
      <c r="K339" s="1049"/>
      <c r="L339" s="1050"/>
      <c r="M339" s="370"/>
    </row>
    <row r="340" spans="1:13" x14ac:dyDescent="0.25">
      <c r="A340" s="326" t="s">
        <v>1326</v>
      </c>
      <c r="B340" s="293"/>
      <c r="C340" s="198">
        <f>C175+C186+C197+C208+C219+C230+C241+C252+C263+C274+C285+C296+C307+C318+C329</f>
        <v>0</v>
      </c>
      <c r="D340" s="198">
        <f t="shared" ref="D340:L340" si="113">D175+D186+D197+D208+D219+D230+D241+D252+D263+D274+D285+D296+D307+D318+D329</f>
        <v>0</v>
      </c>
      <c r="E340" s="1568">
        <f t="shared" si="113"/>
        <v>0</v>
      </c>
      <c r="F340" s="1565">
        <f t="shared" si="113"/>
        <v>34081770</v>
      </c>
      <c r="G340" s="198">
        <f t="shared" si="113"/>
        <v>131811730</v>
      </c>
      <c r="H340" s="1568">
        <f t="shared" si="113"/>
        <v>131811730</v>
      </c>
      <c r="I340" s="1569">
        <f t="shared" si="113"/>
        <v>131811730</v>
      </c>
      <c r="J340" s="1565">
        <f t="shared" si="113"/>
        <v>67361655</v>
      </c>
      <c r="K340" s="198">
        <f t="shared" si="113"/>
        <v>46350000</v>
      </c>
      <c r="L340" s="198">
        <f t="shared" si="113"/>
        <v>54190000</v>
      </c>
      <c r="M340" s="370"/>
    </row>
    <row r="341" spans="1:13" x14ac:dyDescent="0.25">
      <c r="A341" s="1546" t="s">
        <v>600</v>
      </c>
      <c r="B341" s="1274"/>
      <c r="C341" s="1275">
        <f>C171+C340</f>
        <v>176033492</v>
      </c>
      <c r="D341" s="1275">
        <f>D171+D340</f>
        <v>111148753.28</v>
      </c>
      <c r="E341" s="1276">
        <f t="shared" ref="E341:L341" si="114">E171+E340</f>
        <v>223563286.09999996</v>
      </c>
      <c r="F341" s="1277">
        <f t="shared" si="114"/>
        <v>230014000</v>
      </c>
      <c r="G341" s="1278">
        <f t="shared" si="114"/>
        <v>309755750</v>
      </c>
      <c r="H341" s="1279">
        <f t="shared" si="114"/>
        <v>309755750</v>
      </c>
      <c r="I341" s="1276">
        <f t="shared" si="114"/>
        <v>309755750</v>
      </c>
      <c r="J341" s="1277">
        <f t="shared" si="114"/>
        <v>475658508</v>
      </c>
      <c r="K341" s="1278">
        <f t="shared" si="114"/>
        <v>254271000</v>
      </c>
      <c r="L341" s="1279">
        <f t="shared" si="114"/>
        <v>242390000</v>
      </c>
      <c r="M341" s="370"/>
    </row>
    <row r="342" spans="1:13" x14ac:dyDescent="0.25">
      <c r="M342" s="370"/>
    </row>
  </sheetData>
  <dataConsolidate/>
  <mergeCells count="5">
    <mergeCell ref="F2:I2"/>
    <mergeCell ref="J2:L2"/>
    <mergeCell ref="N2:Q2"/>
    <mergeCell ref="R2:U2"/>
    <mergeCell ref="V2:X2"/>
  </mergeCells>
  <phoneticPr fontId="2" type="noConversion"/>
  <pageMargins left="0.36" right="0.14000000000000001" top="0.78" bottom="0.59" header="0.5" footer="0.41"/>
  <pageSetup paperSize="9" scale="79" orientation="portrait" r:id="rId1"/>
  <headerFooter alignWithMargins="0"/>
  <ignoredErrors>
    <ignoredError sqref="J17:L17 K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4"/>
    <pageSetUpPr fitToPage="1"/>
  </sheetPr>
  <dimension ref="A1:O90"/>
  <sheetViews>
    <sheetView showGridLines="0" zoomScaleNormal="100" workbookViewId="0">
      <pane xSplit="2" ySplit="3" topLeftCell="C52" activePane="bottomRight" state="frozen"/>
      <selection pane="topRight"/>
      <selection pane="bottomLeft"/>
      <selection pane="bottomRight" activeCell="K46" sqref="K46"/>
    </sheetView>
  </sheetViews>
  <sheetFormatPr defaultColWidth="9.1796875" defaultRowHeight="10.5" x14ac:dyDescent="0.25"/>
  <cols>
    <col min="1" max="1" width="30.7265625" style="149" customWidth="1"/>
    <col min="2" max="2" width="3" style="247" customWidth="1"/>
    <col min="3" max="8" width="9.26953125" style="149" customWidth="1"/>
    <col min="9" max="9" width="9.1796875" style="149" customWidth="1"/>
    <col min="10" max="12" width="9.26953125" style="149" customWidth="1"/>
    <col min="13" max="13" width="9.81640625" style="149" customWidth="1"/>
    <col min="14" max="14" width="9.54296875" style="149" customWidth="1"/>
    <col min="15" max="15" width="9.81640625" style="149" customWidth="1"/>
    <col min="16" max="18" width="9.54296875" style="149" customWidth="1"/>
    <col min="19" max="19" width="9.81640625" style="149" customWidth="1"/>
    <col min="20" max="22" width="9.54296875" style="149" customWidth="1"/>
    <col min="23" max="24" width="9.81640625" style="149" customWidth="1"/>
    <col min="25" max="16384" width="9.1796875" style="149"/>
  </cols>
  <sheetData>
    <row r="1" spans="1:12" s="179" customFormat="1" ht="13" x14ac:dyDescent="0.3">
      <c r="A1" s="147" t="str">
        <f>muni&amp;" - "&amp;Approve6</f>
        <v>KZN225 Msunduzi - Table A6 Consolidated Budgeted Financial Position</v>
      </c>
      <c r="B1" s="147"/>
      <c r="C1" s="147"/>
      <c r="D1" s="147"/>
      <c r="E1" s="147"/>
      <c r="F1" s="147"/>
      <c r="G1" s="147"/>
      <c r="H1" s="147"/>
      <c r="I1" s="147"/>
      <c r="J1" s="147"/>
      <c r="K1" s="147"/>
      <c r="L1" s="147"/>
    </row>
    <row r="2" spans="1:12" ht="28.5" customHeight="1" x14ac:dyDescent="0.25">
      <c r="A2" s="975" t="str">
        <f>desc</f>
        <v>Description</v>
      </c>
      <c r="B2" s="419" t="str">
        <f>head27</f>
        <v>Ref</v>
      </c>
      <c r="C2" s="150" t="str">
        <f>head1b</f>
        <v>2009/10</v>
      </c>
      <c r="D2" s="150" t="str">
        <f>head1A</f>
        <v>2010/11</v>
      </c>
      <c r="E2" s="146" t="str">
        <f>Head1</f>
        <v>2011/12</v>
      </c>
      <c r="F2" s="2677" t="str">
        <f>Head2</f>
        <v>Current Year 2012/13</v>
      </c>
      <c r="G2" s="2678"/>
      <c r="H2" s="2678"/>
      <c r="I2" s="2678"/>
      <c r="J2" s="2674" t="str">
        <f>Head3</f>
        <v>2013/14 Medium Term Revenue &amp; Expenditure Framework</v>
      </c>
      <c r="K2" s="2675"/>
      <c r="L2" s="2676"/>
    </row>
    <row r="3" spans="1:12" ht="21" x14ac:dyDescent="0.25">
      <c r="A3" s="180" t="s">
        <v>665</v>
      </c>
      <c r="B3" s="990"/>
      <c r="C3" s="390" t="str">
        <f>Head5</f>
        <v>Audited Outcome</v>
      </c>
      <c r="D3" s="390" t="str">
        <f>Head5</f>
        <v>Audited Outcome</v>
      </c>
      <c r="E3" s="391" t="str">
        <f>Head5</f>
        <v>Audited Outcome</v>
      </c>
      <c r="F3" s="299" t="str">
        <f>Head6</f>
        <v>Original Budget</v>
      </c>
      <c r="G3" s="390" t="str">
        <f>Head7</f>
        <v>Adjusted Budget</v>
      </c>
      <c r="H3" s="391" t="str">
        <f>Head8</f>
        <v>Full Year Forecast</v>
      </c>
      <c r="I3" s="389" t="str">
        <f>Head5b</f>
        <v>Pre-audit outcome</v>
      </c>
      <c r="J3" s="299" t="str">
        <f>Head9</f>
        <v>Budget Year 2013/14</v>
      </c>
      <c r="K3" s="390" t="str">
        <f>Head10</f>
        <v>Budget Year +1 2014/15</v>
      </c>
      <c r="L3" s="391" t="str">
        <f>Head11</f>
        <v>Budget Year +2 2015/16</v>
      </c>
    </row>
    <row r="4" spans="1:12" ht="11.25" customHeight="1" x14ac:dyDescent="0.25">
      <c r="A4" s="326" t="s">
        <v>1017</v>
      </c>
      <c r="B4" s="291"/>
      <c r="C4" s="311"/>
      <c r="D4" s="311"/>
      <c r="E4" s="314"/>
      <c r="F4" s="313"/>
      <c r="G4" s="311"/>
      <c r="H4" s="314"/>
      <c r="I4" s="312"/>
      <c r="J4" s="341"/>
      <c r="K4" s="311"/>
      <c r="L4" s="314"/>
    </row>
    <row r="5" spans="1:12" ht="11.25" customHeight="1" x14ac:dyDescent="0.25">
      <c r="A5" s="326" t="s">
        <v>1018</v>
      </c>
      <c r="B5" s="293"/>
      <c r="C5" s="203"/>
      <c r="D5" s="203"/>
      <c r="E5" s="204"/>
      <c r="F5" s="205"/>
      <c r="G5" s="203"/>
      <c r="H5" s="204"/>
      <c r="I5" s="202"/>
      <c r="J5" s="206"/>
      <c r="K5" s="203"/>
      <c r="L5" s="204"/>
    </row>
    <row r="6" spans="1:12" ht="11.25" customHeight="1" x14ac:dyDescent="0.25">
      <c r="A6" s="190" t="s">
        <v>700</v>
      </c>
      <c r="B6" s="293"/>
      <c r="C6" s="1614">
        <v>20122000</v>
      </c>
      <c r="D6" s="1634">
        <v>138810885</v>
      </c>
      <c r="E6" s="1634">
        <v>23752000</v>
      </c>
      <c r="F6" s="1635">
        <v>61416695</v>
      </c>
      <c r="G6" s="1614">
        <f>F6</f>
        <v>61416695</v>
      </c>
      <c r="H6" s="1634">
        <f>G6</f>
        <v>61416695</v>
      </c>
      <c r="I6" s="1634">
        <f>H6</f>
        <v>61416695</v>
      </c>
      <c r="J6" s="1614">
        <v>64671779.834999993</v>
      </c>
      <c r="K6" s="1634">
        <v>67840697.046914995</v>
      </c>
      <c r="L6" s="1634">
        <v>1062840000</v>
      </c>
    </row>
    <row r="7" spans="1:12" ht="11.25" customHeight="1" x14ac:dyDescent="0.25">
      <c r="A7" s="190" t="s">
        <v>1511</v>
      </c>
      <c r="B7" s="293">
        <v>1</v>
      </c>
      <c r="C7" s="203">
        <f>'SA3'!C9</f>
        <v>118688660</v>
      </c>
      <c r="D7" s="203">
        <f>'SA3'!D9</f>
        <v>282404193</v>
      </c>
      <c r="E7" s="264">
        <f>'SA3'!E9</f>
        <v>561104000</v>
      </c>
      <c r="F7" s="205">
        <f>'SA3'!F9</f>
        <v>511891585</v>
      </c>
      <c r="G7" s="203">
        <f>'SA3'!G9</f>
        <v>648239294</v>
      </c>
      <c r="H7" s="264">
        <f>'SA3'!H9</f>
        <v>648239294</v>
      </c>
      <c r="I7" s="210">
        <f>'SA3'!I9</f>
        <v>648239294</v>
      </c>
      <c r="J7" s="211">
        <f>'SA3'!J9</f>
        <v>539021839.005</v>
      </c>
      <c r="K7" s="207">
        <f>'SA3'!K9</f>
        <v>565433909.11624491</v>
      </c>
      <c r="L7" s="264">
        <f>'SA3'!L9</f>
        <v>593706000</v>
      </c>
    </row>
    <row r="8" spans="1:12" ht="11.25" customHeight="1" x14ac:dyDescent="0.25">
      <c r="A8" s="190" t="s">
        <v>1509</v>
      </c>
      <c r="B8" s="293">
        <v>1</v>
      </c>
      <c r="C8" s="203">
        <f>'SA3'!C14</f>
        <v>214803869</v>
      </c>
      <c r="D8" s="203">
        <f>'SA3'!D14</f>
        <v>352890396</v>
      </c>
      <c r="E8" s="264">
        <f>'SA3'!E14</f>
        <v>549680000</v>
      </c>
      <c r="F8" s="205">
        <f>'SA3'!F14</f>
        <v>737498146.89999998</v>
      </c>
      <c r="G8" s="203">
        <f>'SA3'!G14</f>
        <v>737498146.89999998</v>
      </c>
      <c r="H8" s="264">
        <f>'SA3'!H14</f>
        <v>737498146.89999998</v>
      </c>
      <c r="I8" s="210">
        <f>'SA3'!I14</f>
        <v>737498146.89999998</v>
      </c>
      <c r="J8" s="211">
        <f>'SA3'!J14</f>
        <v>1002686000</v>
      </c>
      <c r="K8" s="207">
        <f>'SA3'!K14</f>
        <v>937054730.10028982</v>
      </c>
      <c r="L8" s="264">
        <f>'SA3'!L14</f>
        <v>811384000</v>
      </c>
    </row>
    <row r="9" spans="1:12" ht="11.25" customHeight="1" x14ac:dyDescent="0.25">
      <c r="A9" s="190" t="s">
        <v>1510</v>
      </c>
      <c r="B9" s="293"/>
      <c r="C9" s="1614">
        <v>33556288</v>
      </c>
      <c r="D9" s="1614">
        <f>13408066-124826516</f>
        <v>-111418450</v>
      </c>
      <c r="E9" s="1634">
        <v>11170000</v>
      </c>
      <c r="F9" s="1635">
        <v>8254451</v>
      </c>
      <c r="G9" s="1614">
        <f>F9</f>
        <v>8254451</v>
      </c>
      <c r="H9" s="1634">
        <f>F9</f>
        <v>8254451</v>
      </c>
      <c r="I9" s="1634">
        <f>H9</f>
        <v>8254451</v>
      </c>
      <c r="J9" s="1614">
        <v>7354451</v>
      </c>
      <c r="K9" s="1634">
        <v>7103554</v>
      </c>
      <c r="L9" s="1634">
        <v>21393000</v>
      </c>
    </row>
    <row r="10" spans="1:12" ht="11.25" customHeight="1" x14ac:dyDescent="0.25">
      <c r="A10" s="190" t="s">
        <v>701</v>
      </c>
      <c r="B10" s="293"/>
      <c r="C10" s="1614">
        <v>0</v>
      </c>
      <c r="D10" s="1614">
        <v>0</v>
      </c>
      <c r="E10" s="1634">
        <v>0</v>
      </c>
      <c r="F10" s="1639">
        <v>43584148</v>
      </c>
      <c r="G10" s="1637">
        <f>F10</f>
        <v>43584148</v>
      </c>
      <c r="H10" s="1634">
        <f>F10</f>
        <v>43584148</v>
      </c>
      <c r="I10" s="1634">
        <f>H10</f>
        <v>43584148</v>
      </c>
      <c r="J10" s="1637">
        <v>45198973</v>
      </c>
      <c r="K10" s="1638">
        <v>41701244</v>
      </c>
      <c r="L10" s="1638">
        <v>1990000</v>
      </c>
    </row>
    <row r="11" spans="1:12" ht="11.25" customHeight="1" x14ac:dyDescent="0.25">
      <c r="A11" s="190" t="s">
        <v>1508</v>
      </c>
      <c r="B11" s="293">
        <v>2</v>
      </c>
      <c r="C11" s="1614">
        <v>62078701</v>
      </c>
      <c r="D11" s="1614">
        <v>57922099</v>
      </c>
      <c r="E11" s="1634">
        <v>57007481</v>
      </c>
      <c r="F11" s="1635">
        <v>53719600</v>
      </c>
      <c r="G11" s="1614">
        <f>F11</f>
        <v>53719600</v>
      </c>
      <c r="H11" s="1634">
        <f>F11</f>
        <v>53719600</v>
      </c>
      <c r="I11" s="1634">
        <f>H11</f>
        <v>53719600</v>
      </c>
      <c r="J11" s="1614">
        <v>56566738.799999997</v>
      </c>
      <c r="K11" s="1634">
        <v>59338509.001199991</v>
      </c>
      <c r="L11" s="1634">
        <v>77513000</v>
      </c>
    </row>
    <row r="12" spans="1:12" ht="11.25" customHeight="1" x14ac:dyDescent="0.25">
      <c r="A12" s="342" t="s">
        <v>575</v>
      </c>
      <c r="B12" s="343"/>
      <c r="C12" s="276">
        <f t="shared" ref="C12:L12" si="0">SUM(C6:C11)</f>
        <v>449249518</v>
      </c>
      <c r="D12" s="276">
        <f t="shared" si="0"/>
        <v>720609123</v>
      </c>
      <c r="E12" s="277">
        <f t="shared" si="0"/>
        <v>1202713481</v>
      </c>
      <c r="F12" s="278">
        <f t="shared" si="0"/>
        <v>1416364625.9000001</v>
      </c>
      <c r="G12" s="276">
        <f t="shared" si="0"/>
        <v>1552712334.9000001</v>
      </c>
      <c r="H12" s="277">
        <f t="shared" si="0"/>
        <v>1552712334.9000001</v>
      </c>
      <c r="I12" s="816">
        <f t="shared" si="0"/>
        <v>1552712334.9000001</v>
      </c>
      <c r="J12" s="279">
        <f t="shared" si="0"/>
        <v>1715499781.6400001</v>
      </c>
      <c r="K12" s="276">
        <f t="shared" si="0"/>
        <v>1678472643.2646496</v>
      </c>
      <c r="L12" s="277">
        <f t="shared" si="0"/>
        <v>2568826000</v>
      </c>
    </row>
    <row r="13" spans="1:12" ht="5.15" customHeight="1" x14ac:dyDescent="0.25">
      <c r="A13" s="201"/>
      <c r="B13" s="293"/>
      <c r="C13" s="203"/>
      <c r="D13" s="203"/>
      <c r="E13" s="204"/>
      <c r="F13" s="205"/>
      <c r="G13" s="203"/>
      <c r="H13" s="204"/>
      <c r="I13" s="210"/>
      <c r="J13" s="206"/>
      <c r="K13" s="203"/>
      <c r="L13" s="204"/>
    </row>
    <row r="14" spans="1:12" ht="11.25" customHeight="1" x14ac:dyDescent="0.25">
      <c r="A14" s="326" t="s">
        <v>569</v>
      </c>
      <c r="B14" s="293"/>
      <c r="C14" s="203"/>
      <c r="D14" s="203"/>
      <c r="E14" s="204"/>
      <c r="F14" s="205"/>
      <c r="G14" s="203"/>
      <c r="H14" s="204"/>
      <c r="I14" s="210"/>
      <c r="J14" s="206"/>
      <c r="K14" s="203"/>
      <c r="L14" s="204"/>
    </row>
    <row r="15" spans="1:12" ht="11.25" customHeight="1" x14ac:dyDescent="0.25">
      <c r="A15" s="190" t="s">
        <v>1507</v>
      </c>
      <c r="B15" s="293"/>
      <c r="C15" s="1614">
        <v>0</v>
      </c>
      <c r="D15" s="1614">
        <v>0</v>
      </c>
      <c r="E15" s="1634">
        <v>0</v>
      </c>
      <c r="F15" s="1635">
        <v>7962792</v>
      </c>
      <c r="G15" s="1614">
        <f>F15</f>
        <v>7962792</v>
      </c>
      <c r="H15" s="1634">
        <f>F15</f>
        <v>7962792</v>
      </c>
      <c r="I15" s="1634">
        <f>H15</f>
        <v>7962792</v>
      </c>
      <c r="J15" s="1614">
        <v>8384819.9759999998</v>
      </c>
      <c r="K15" s="1634">
        <v>8795676.1548239999</v>
      </c>
      <c r="L15" s="1634">
        <v>8959000</v>
      </c>
    </row>
    <row r="16" spans="1:12" ht="11.25" customHeight="1" x14ac:dyDescent="0.25">
      <c r="A16" s="190" t="s">
        <v>1019</v>
      </c>
      <c r="B16" s="293"/>
      <c r="C16" s="1614"/>
      <c r="D16" s="1614"/>
      <c r="E16" s="1634"/>
      <c r="F16" s="1639">
        <v>65703</v>
      </c>
      <c r="G16" s="1637">
        <f>F16</f>
        <v>65703</v>
      </c>
      <c r="H16" s="1634">
        <f>F16</f>
        <v>65703</v>
      </c>
      <c r="I16" s="1634">
        <f>H16</f>
        <v>65703</v>
      </c>
      <c r="J16" s="1637">
        <v>69185.258999999991</v>
      </c>
      <c r="K16" s="1638">
        <v>72575.33669099999</v>
      </c>
      <c r="L16" s="1638"/>
    </row>
    <row r="17" spans="1:13" ht="11.25" customHeight="1" x14ac:dyDescent="0.25">
      <c r="A17" s="190" t="s">
        <v>1506</v>
      </c>
      <c r="B17" s="293"/>
      <c r="C17" s="1614">
        <v>534167000</v>
      </c>
      <c r="D17" s="1614">
        <v>405306365</v>
      </c>
      <c r="E17" s="1634">
        <v>381011346</v>
      </c>
      <c r="F17" s="1635">
        <v>405306000</v>
      </c>
      <c r="G17" s="1614">
        <f>F17</f>
        <v>405306000</v>
      </c>
      <c r="H17" s="1634">
        <f>F17</f>
        <v>405306000</v>
      </c>
      <c r="I17" s="1634">
        <f>H17</f>
        <v>405306000</v>
      </c>
      <c r="J17" s="1614">
        <v>405306000</v>
      </c>
      <c r="K17" s="1634">
        <v>405306000</v>
      </c>
      <c r="L17" s="1634">
        <v>405306000</v>
      </c>
    </row>
    <row r="18" spans="1:13" ht="11.25" customHeight="1" x14ac:dyDescent="0.25">
      <c r="A18" s="190" t="s">
        <v>784</v>
      </c>
      <c r="B18" s="293"/>
      <c r="C18" s="1614"/>
      <c r="D18" s="1614"/>
      <c r="E18" s="1634"/>
      <c r="F18" s="1635"/>
      <c r="G18" s="1614"/>
      <c r="H18" s="1634"/>
      <c r="I18" s="1636"/>
      <c r="J18" s="1614"/>
      <c r="K18" s="1634"/>
      <c r="L18" s="1634"/>
    </row>
    <row r="19" spans="1:13" ht="11.25" customHeight="1" x14ac:dyDescent="0.25">
      <c r="A19" s="190" t="s">
        <v>1505</v>
      </c>
      <c r="B19" s="293">
        <v>3</v>
      </c>
      <c r="C19" s="203">
        <f>'SA3'!C26</f>
        <v>6221807321</v>
      </c>
      <c r="D19" s="203">
        <f>'SA3'!D26</f>
        <v>6397718211</v>
      </c>
      <c r="E19" s="264">
        <f>'SA3'!E26</f>
        <v>6361749397</v>
      </c>
      <c r="F19" s="205">
        <f>'SA3'!F26</f>
        <v>6708833917</v>
      </c>
      <c r="G19" s="203">
        <f>'SA3'!G26</f>
        <v>6708833917</v>
      </c>
      <c r="H19" s="204">
        <f>'SA3'!H26</f>
        <v>6708833917</v>
      </c>
      <c r="I19" s="202">
        <f>'SA3'!I26</f>
        <v>6708833917</v>
      </c>
      <c r="J19" s="206">
        <f>'SA3'!J26</f>
        <v>6504318165.1590004</v>
      </c>
      <c r="K19" s="203">
        <f>'SA3'!K26</f>
        <v>6479146000</v>
      </c>
      <c r="L19" s="204">
        <f>'SA3'!L26</f>
        <v>6661730219</v>
      </c>
    </row>
    <row r="20" spans="1:13" ht="11.25" customHeight="1" x14ac:dyDescent="0.25">
      <c r="A20" s="190" t="s">
        <v>945</v>
      </c>
      <c r="B20" s="293"/>
      <c r="C20" s="1614"/>
      <c r="D20" s="1614"/>
      <c r="E20" s="1634"/>
      <c r="F20" s="1635"/>
      <c r="G20" s="1614"/>
      <c r="H20" s="1634"/>
      <c r="I20" s="1634"/>
      <c r="J20" s="1614"/>
      <c r="K20" s="1634"/>
      <c r="L20" s="1634"/>
    </row>
    <row r="21" spans="1:13" ht="11.25" customHeight="1" x14ac:dyDescent="0.25">
      <c r="A21" s="190" t="s">
        <v>946</v>
      </c>
      <c r="B21" s="293"/>
      <c r="C21" s="1614"/>
      <c r="D21" s="1614"/>
      <c r="E21" s="1634"/>
      <c r="F21" s="1635">
        <f>543000-442</f>
        <v>542558</v>
      </c>
      <c r="G21" s="1614">
        <f>F21+442</f>
        <v>543000</v>
      </c>
      <c r="H21" s="1634">
        <f>F21+442</f>
        <v>543000</v>
      </c>
      <c r="I21" s="1634">
        <f>H21</f>
        <v>543000</v>
      </c>
      <c r="J21" s="1614">
        <v>543000</v>
      </c>
      <c r="K21" s="1634">
        <v>543000</v>
      </c>
      <c r="L21" s="1634"/>
    </row>
    <row r="22" spans="1:13" ht="11.25" customHeight="1" x14ac:dyDescent="0.25">
      <c r="A22" s="190" t="s">
        <v>947</v>
      </c>
      <c r="B22" s="293"/>
      <c r="C22" s="1614">
        <v>6465000</v>
      </c>
      <c r="D22" s="1614">
        <v>7282522</v>
      </c>
      <c r="E22" s="1634">
        <v>3458562</v>
      </c>
      <c r="F22" s="1635">
        <v>7282522</v>
      </c>
      <c r="G22" s="1614">
        <f>F22</f>
        <v>7282522</v>
      </c>
      <c r="H22" s="1634">
        <f>F22</f>
        <v>7282522</v>
      </c>
      <c r="I22" s="1634">
        <f>H22</f>
        <v>7282522</v>
      </c>
      <c r="J22" s="1614">
        <v>5088167</v>
      </c>
      <c r="K22" s="1634">
        <v>2889812</v>
      </c>
      <c r="L22" s="1634">
        <v>7282000</v>
      </c>
    </row>
    <row r="23" spans="1:13" ht="11.25" customHeight="1" x14ac:dyDescent="0.25">
      <c r="A23" s="190" t="s">
        <v>1688</v>
      </c>
      <c r="B23" s="293"/>
      <c r="C23" s="1614">
        <v>4190414</v>
      </c>
      <c r="D23" s="1614">
        <v>6694806</v>
      </c>
      <c r="E23" s="1634">
        <v>8181275</v>
      </c>
      <c r="F23" s="1639"/>
      <c r="G23" s="1637"/>
      <c r="H23" s="1638"/>
      <c r="I23" s="1638"/>
      <c r="J23" s="1637"/>
      <c r="K23" s="1638"/>
      <c r="L23" s="1638"/>
    </row>
    <row r="24" spans="1:13" ht="11.25" customHeight="1" x14ac:dyDescent="0.25">
      <c r="A24" s="342" t="s">
        <v>574</v>
      </c>
      <c r="B24" s="1386"/>
      <c r="C24" s="1385">
        <f>SUM(C15:C23)</f>
        <v>6766629735</v>
      </c>
      <c r="D24" s="213">
        <f>SUM(D15:D23)</f>
        <v>6817001904</v>
      </c>
      <c r="E24" s="214">
        <f t="shared" ref="E24:L24" si="1">SUM(E15:E23)</f>
        <v>6754400580</v>
      </c>
      <c r="F24" s="215">
        <f t="shared" si="1"/>
        <v>7129993492</v>
      </c>
      <c r="G24" s="213">
        <f t="shared" si="1"/>
        <v>7129993934</v>
      </c>
      <c r="H24" s="214">
        <f t="shared" si="1"/>
        <v>7129993934</v>
      </c>
      <c r="I24" s="212">
        <f t="shared" si="1"/>
        <v>7129993934</v>
      </c>
      <c r="J24" s="216">
        <f t="shared" si="1"/>
        <v>6923709337.3940001</v>
      </c>
      <c r="K24" s="213">
        <f t="shared" si="1"/>
        <v>6896753063.4915152</v>
      </c>
      <c r="L24" s="214">
        <f t="shared" si="1"/>
        <v>7083277219</v>
      </c>
    </row>
    <row r="25" spans="1:13" ht="11.25" customHeight="1" x14ac:dyDescent="0.25">
      <c r="A25" s="342" t="s">
        <v>578</v>
      </c>
      <c r="B25" s="343"/>
      <c r="C25" s="276">
        <f>C12+C24</f>
        <v>7215879253</v>
      </c>
      <c r="D25" s="276">
        <f>D12+D24</f>
        <v>7537611027</v>
      </c>
      <c r="E25" s="277">
        <f>E12+E24</f>
        <v>7957114061</v>
      </c>
      <c r="F25" s="278">
        <f t="shared" ref="F25:L25" si="2">F12+F24</f>
        <v>8546358117.8999996</v>
      </c>
      <c r="G25" s="276">
        <f t="shared" si="2"/>
        <v>8682706268.8999996</v>
      </c>
      <c r="H25" s="277">
        <f t="shared" si="2"/>
        <v>8682706268.8999996</v>
      </c>
      <c r="I25" s="275">
        <f t="shared" si="2"/>
        <v>8682706268.8999996</v>
      </c>
      <c r="J25" s="279">
        <f t="shared" si="2"/>
        <v>8639209119.0340004</v>
      </c>
      <c r="K25" s="276">
        <f t="shared" si="2"/>
        <v>8575225706.7561646</v>
      </c>
      <c r="L25" s="277">
        <f t="shared" si="2"/>
        <v>9652103219</v>
      </c>
    </row>
    <row r="26" spans="1:13" ht="5.15" customHeight="1" x14ac:dyDescent="0.25">
      <c r="A26" s="201"/>
      <c r="B26" s="293"/>
      <c r="C26" s="203"/>
      <c r="D26" s="203"/>
      <c r="E26" s="204"/>
      <c r="F26" s="205"/>
      <c r="G26" s="203"/>
      <c r="H26" s="204"/>
      <c r="I26" s="202"/>
      <c r="J26" s="206"/>
      <c r="K26" s="203"/>
      <c r="L26" s="204"/>
    </row>
    <row r="27" spans="1:13" ht="11.25" customHeight="1" x14ac:dyDescent="0.25">
      <c r="A27" s="326" t="s">
        <v>570</v>
      </c>
      <c r="B27" s="293"/>
      <c r="C27" s="203"/>
      <c r="D27" s="203"/>
      <c r="E27" s="204"/>
      <c r="F27" s="205"/>
      <c r="G27" s="203"/>
      <c r="H27" s="204"/>
      <c r="I27" s="202"/>
      <c r="J27" s="206"/>
      <c r="K27" s="203"/>
      <c r="L27" s="204"/>
    </row>
    <row r="28" spans="1:13" ht="11.25" customHeight="1" x14ac:dyDescent="0.25">
      <c r="A28" s="326" t="s">
        <v>1020</v>
      </c>
      <c r="B28" s="295"/>
      <c r="C28" s="203"/>
      <c r="D28" s="203"/>
      <c r="E28" s="204"/>
      <c r="F28" s="205"/>
      <c r="G28" s="203"/>
      <c r="H28" s="204"/>
      <c r="I28" s="202"/>
      <c r="J28" s="206"/>
      <c r="K28" s="203"/>
      <c r="L28" s="204"/>
    </row>
    <row r="29" spans="1:13" ht="11.25" customHeight="1" x14ac:dyDescent="0.25">
      <c r="A29" s="190" t="s">
        <v>1293</v>
      </c>
      <c r="B29" s="293">
        <v>1</v>
      </c>
      <c r="C29" s="1614"/>
      <c r="D29" s="1614"/>
      <c r="E29" s="1634"/>
      <c r="F29" s="1635"/>
      <c r="G29" s="1614"/>
      <c r="H29" s="1634"/>
      <c r="I29" s="1636"/>
      <c r="J29" s="1616"/>
      <c r="K29" s="1614"/>
      <c r="L29" s="1634"/>
    </row>
    <row r="30" spans="1:13" ht="11.25" customHeight="1" x14ac:dyDescent="0.25">
      <c r="A30" s="190" t="s">
        <v>1280</v>
      </c>
      <c r="B30" s="293">
        <v>4</v>
      </c>
      <c r="C30" s="203">
        <f>'SA3'!C32</f>
        <v>3442950</v>
      </c>
      <c r="D30" s="203">
        <f>'SA3'!D32</f>
        <v>2861443</v>
      </c>
      <c r="E30" s="264">
        <f>'SA3'!E32</f>
        <v>45832278</v>
      </c>
      <c r="F30" s="205">
        <f>'SA3'!F32</f>
        <v>43584148</v>
      </c>
      <c r="G30" s="203">
        <f>'SA3'!G32</f>
        <v>43584148</v>
      </c>
      <c r="H30" s="204">
        <f>'SA3'!H32</f>
        <v>43584148</v>
      </c>
      <c r="I30" s="202">
        <f>'SA3'!I32</f>
        <v>43584148</v>
      </c>
      <c r="J30" s="206">
        <f>'SA3'!J32</f>
        <v>45198973</v>
      </c>
      <c r="K30" s="203">
        <f>'SA3'!K32</f>
        <v>41701244</v>
      </c>
      <c r="L30" s="204">
        <f>'SA3'!L32</f>
        <v>40783000</v>
      </c>
    </row>
    <row r="31" spans="1:13" ht="11.25" customHeight="1" x14ac:dyDescent="0.25">
      <c r="A31" s="190" t="s">
        <v>1502</v>
      </c>
      <c r="B31" s="293"/>
      <c r="C31" s="1614">
        <v>35793963</v>
      </c>
      <c r="D31" s="1614">
        <v>70633354</v>
      </c>
      <c r="E31" s="1634">
        <v>71647692</v>
      </c>
      <c r="F31" s="1635">
        <v>70829011</v>
      </c>
      <c r="G31" s="1614">
        <f>F31</f>
        <v>70829011</v>
      </c>
      <c r="H31" s="1634">
        <f>G31</f>
        <v>70829011</v>
      </c>
      <c r="I31" s="1634">
        <f>H31</f>
        <v>70829011</v>
      </c>
      <c r="J31" s="1614">
        <v>73940745.995999992</v>
      </c>
      <c r="K31" s="1634">
        <v>77563842.549803987</v>
      </c>
      <c r="L31" s="1634">
        <v>94523000</v>
      </c>
      <c r="M31" s="370"/>
    </row>
    <row r="32" spans="1:13" ht="11.25" customHeight="1" x14ac:dyDescent="0.25">
      <c r="A32" s="190" t="s">
        <v>702</v>
      </c>
      <c r="B32" s="293">
        <v>4</v>
      </c>
      <c r="C32" s="203">
        <f>'SA3'!C38</f>
        <v>533876149</v>
      </c>
      <c r="D32" s="203">
        <f>'SA3'!D38</f>
        <v>527353566</v>
      </c>
      <c r="E32" s="264">
        <f>'SA3'!E38</f>
        <v>654288670</v>
      </c>
      <c r="F32" s="251">
        <f>'SA3'!F38</f>
        <v>262607490</v>
      </c>
      <c r="G32" s="203">
        <f>'SA3'!G38</f>
        <v>262607490</v>
      </c>
      <c r="H32" s="204">
        <f>'SA3'!H38</f>
        <v>262607490</v>
      </c>
      <c r="I32" s="202">
        <f>'SA3'!I38</f>
        <v>262607490</v>
      </c>
      <c r="J32" s="206">
        <f>'SA3'!J38</f>
        <v>291938418.27899998</v>
      </c>
      <c r="K32" s="203">
        <f>'SA3'!K38</f>
        <v>308538032.67467099</v>
      </c>
      <c r="L32" s="204">
        <f>'SA3'!L38</f>
        <v>326176219</v>
      </c>
      <c r="M32" s="370"/>
    </row>
    <row r="33" spans="1:15" ht="11.25" customHeight="1" x14ac:dyDescent="0.25">
      <c r="A33" s="190" t="s">
        <v>1021</v>
      </c>
      <c r="B33" s="293"/>
      <c r="C33" s="1614">
        <v>760739</v>
      </c>
      <c r="D33" s="1614">
        <v>412346</v>
      </c>
      <c r="E33" s="1634">
        <v>311926</v>
      </c>
      <c r="F33" s="1635"/>
      <c r="G33" s="1614" t="s">
        <v>2226</v>
      </c>
      <c r="H33" s="1634"/>
      <c r="I33" s="1636"/>
      <c r="J33" s="1616"/>
      <c r="K33" s="1614"/>
      <c r="L33" s="1634">
        <v>582000</v>
      </c>
      <c r="M33" s="370"/>
    </row>
    <row r="34" spans="1:15" ht="11.25" customHeight="1" x14ac:dyDescent="0.25">
      <c r="A34" s="342" t="s">
        <v>573</v>
      </c>
      <c r="B34" s="343"/>
      <c r="C34" s="276">
        <f t="shared" ref="C34:L34" si="3">SUM(C29:C33)</f>
        <v>573873801</v>
      </c>
      <c r="D34" s="276">
        <f t="shared" si="3"/>
        <v>601260709</v>
      </c>
      <c r="E34" s="277">
        <f t="shared" si="3"/>
        <v>772080566</v>
      </c>
      <c r="F34" s="278">
        <f t="shared" si="3"/>
        <v>377020649</v>
      </c>
      <c r="G34" s="276">
        <f t="shared" si="3"/>
        <v>377020649</v>
      </c>
      <c r="H34" s="277">
        <f t="shared" si="3"/>
        <v>377020649</v>
      </c>
      <c r="I34" s="275">
        <f t="shared" si="3"/>
        <v>377020649</v>
      </c>
      <c r="J34" s="279">
        <f t="shared" si="3"/>
        <v>411078137.27499998</v>
      </c>
      <c r="K34" s="276">
        <f t="shared" si="3"/>
        <v>427803119.22447497</v>
      </c>
      <c r="L34" s="277">
        <f t="shared" si="3"/>
        <v>462064219</v>
      </c>
      <c r="M34" s="370"/>
    </row>
    <row r="35" spans="1:15" ht="5.15" customHeight="1" x14ac:dyDescent="0.25">
      <c r="A35" s="201"/>
      <c r="B35" s="293"/>
      <c r="C35" s="203"/>
      <c r="D35" s="203"/>
      <c r="E35" s="204"/>
      <c r="F35" s="205"/>
      <c r="G35" s="203"/>
      <c r="H35" s="204"/>
      <c r="I35" s="202"/>
      <c r="J35" s="206"/>
      <c r="K35" s="203"/>
      <c r="L35" s="204"/>
      <c r="M35" s="370"/>
    </row>
    <row r="36" spans="1:15" ht="11.25" customHeight="1" x14ac:dyDescent="0.25">
      <c r="A36" s="326" t="s">
        <v>571</v>
      </c>
      <c r="B36" s="293"/>
      <c r="C36" s="203"/>
      <c r="D36" s="203"/>
      <c r="E36" s="204"/>
      <c r="F36" s="205"/>
      <c r="G36" s="203"/>
      <c r="H36" s="204"/>
      <c r="I36" s="202"/>
      <c r="J36" s="206"/>
      <c r="K36" s="203"/>
      <c r="L36" s="204"/>
      <c r="M36" s="370"/>
    </row>
    <row r="37" spans="1:15" ht="11.25" customHeight="1" x14ac:dyDescent="0.25">
      <c r="A37" s="190" t="s">
        <v>1280</v>
      </c>
      <c r="B37" s="293"/>
      <c r="C37" s="203">
        <f>'SA3'!C43</f>
        <v>570128738</v>
      </c>
      <c r="D37" s="203">
        <f>'SA3'!D43</f>
        <v>518941953</v>
      </c>
      <c r="E37" s="264">
        <f>'SA3'!E43</f>
        <v>22370669</v>
      </c>
      <c r="F37" s="205">
        <f>'SA3'!F43</f>
        <v>647309128</v>
      </c>
      <c r="G37" s="203">
        <f>'SA3'!G43</f>
        <v>647309128</v>
      </c>
      <c r="H37" s="204">
        <f>'SA3'!H43</f>
        <v>647309128</v>
      </c>
      <c r="I37" s="202">
        <f>'SA3'!I43</f>
        <v>647309128</v>
      </c>
      <c r="J37" s="206">
        <f>'SA3'!J43</f>
        <v>573000000</v>
      </c>
      <c r="K37" s="203">
        <f>'SA3'!K43</f>
        <v>503000000</v>
      </c>
      <c r="L37" s="204">
        <f>'SA3'!L43</f>
        <v>430000000</v>
      </c>
      <c r="M37" s="370"/>
    </row>
    <row r="38" spans="1:15" ht="11.25" customHeight="1" x14ac:dyDescent="0.25">
      <c r="A38" s="190" t="s">
        <v>1021</v>
      </c>
      <c r="B38" s="293"/>
      <c r="C38" s="203">
        <f>'SA3'!C50</f>
        <v>154720930</v>
      </c>
      <c r="D38" s="203">
        <f>'SA3'!D50</f>
        <v>232000555</v>
      </c>
      <c r="E38" s="264">
        <f>'SA3'!E50</f>
        <v>863714560</v>
      </c>
      <c r="F38" s="205">
        <f>'SA3'!F50</f>
        <v>2585336</v>
      </c>
      <c r="G38" s="203">
        <f>'SA3'!G50</f>
        <v>2585336</v>
      </c>
      <c r="H38" s="204">
        <f>'SA3'!H50</f>
        <v>2585336</v>
      </c>
      <c r="I38" s="202">
        <f>'SA3'!I50</f>
        <v>2585336</v>
      </c>
      <c r="J38" s="206">
        <f>'SA3'!J50</f>
        <v>0</v>
      </c>
      <c r="K38" s="203">
        <f>'SA3'!K50</f>
        <v>0</v>
      </c>
      <c r="L38" s="204">
        <f>'SA3'!L50</f>
        <v>0</v>
      </c>
      <c r="M38" s="370"/>
    </row>
    <row r="39" spans="1:15" ht="11.25" customHeight="1" x14ac:dyDescent="0.25">
      <c r="A39" s="342" t="s">
        <v>572</v>
      </c>
      <c r="B39" s="1386"/>
      <c r="C39" s="1385">
        <f>SUM(C37:C38)</f>
        <v>724849668</v>
      </c>
      <c r="D39" s="213">
        <f>SUM(D37:D38)</f>
        <v>750942508</v>
      </c>
      <c r="E39" s="214">
        <f>SUM(E37:E38)</f>
        <v>886085229</v>
      </c>
      <c r="F39" s="215">
        <f t="shared" ref="F39:L39" si="4">SUM(F37:F38)</f>
        <v>649894464</v>
      </c>
      <c r="G39" s="213">
        <f t="shared" si="4"/>
        <v>649894464</v>
      </c>
      <c r="H39" s="214">
        <f t="shared" si="4"/>
        <v>649894464</v>
      </c>
      <c r="I39" s="215">
        <f t="shared" si="4"/>
        <v>649894464</v>
      </c>
      <c r="J39" s="216">
        <f t="shared" si="4"/>
        <v>573000000</v>
      </c>
      <c r="K39" s="213">
        <f>SUM(K37:K38)</f>
        <v>503000000</v>
      </c>
      <c r="L39" s="214">
        <f t="shared" si="4"/>
        <v>430000000</v>
      </c>
    </row>
    <row r="40" spans="1:15" ht="11.25" customHeight="1" x14ac:dyDescent="0.25">
      <c r="A40" s="342" t="s">
        <v>1079</v>
      </c>
      <c r="B40" s="343"/>
      <c r="C40" s="276">
        <f>C34+C39</f>
        <v>1298723469</v>
      </c>
      <c r="D40" s="276">
        <f>D34+D39</f>
        <v>1352203217</v>
      </c>
      <c r="E40" s="277">
        <f>E34+E39</f>
        <v>1658165795</v>
      </c>
      <c r="F40" s="278">
        <f t="shared" ref="F40:L40" si="5">F34+F39</f>
        <v>1026915113</v>
      </c>
      <c r="G40" s="276">
        <f t="shared" si="5"/>
        <v>1026915113</v>
      </c>
      <c r="H40" s="277">
        <f t="shared" si="5"/>
        <v>1026915113</v>
      </c>
      <c r="I40" s="275">
        <f t="shared" si="5"/>
        <v>1026915113</v>
      </c>
      <c r="J40" s="279">
        <f t="shared" si="5"/>
        <v>984078137.27499998</v>
      </c>
      <c r="K40" s="276">
        <f>K34+K39</f>
        <v>930803119.22447491</v>
      </c>
      <c r="L40" s="277">
        <f t="shared" si="5"/>
        <v>892064219</v>
      </c>
    </row>
    <row r="41" spans="1:15" s="246" customFormat="1" ht="4.5" customHeight="1" x14ac:dyDescent="0.25">
      <c r="A41" s="201"/>
      <c r="B41" s="293"/>
      <c r="C41" s="203"/>
      <c r="D41" s="203"/>
      <c r="E41" s="204"/>
      <c r="F41" s="205"/>
      <c r="G41" s="203"/>
      <c r="H41" s="204"/>
      <c r="I41" s="202"/>
      <c r="J41" s="206"/>
      <c r="K41" s="203"/>
      <c r="L41" s="204"/>
      <c r="O41" s="149"/>
    </row>
    <row r="42" spans="1:15" ht="11.25" customHeight="1" x14ac:dyDescent="0.25">
      <c r="A42" s="346" t="s">
        <v>577</v>
      </c>
      <c r="B42" s="347">
        <v>5</v>
      </c>
      <c r="C42" s="283">
        <f t="shared" ref="C42:L42" si="6">C25-C40</f>
        <v>5917155784</v>
      </c>
      <c r="D42" s="283">
        <f t="shared" si="6"/>
        <v>6185407810</v>
      </c>
      <c r="E42" s="284">
        <f t="shared" si="6"/>
        <v>6298948266</v>
      </c>
      <c r="F42" s="285">
        <f t="shared" si="6"/>
        <v>7519443004.8999996</v>
      </c>
      <c r="G42" s="283">
        <f t="shared" si="6"/>
        <v>7655791155.8999996</v>
      </c>
      <c r="H42" s="284">
        <f t="shared" si="6"/>
        <v>7655791155.8999996</v>
      </c>
      <c r="I42" s="282">
        <f t="shared" si="6"/>
        <v>7655791155.8999996</v>
      </c>
      <c r="J42" s="286">
        <f t="shared" si="6"/>
        <v>7655130981.7590008</v>
      </c>
      <c r="K42" s="283">
        <f t="shared" si="6"/>
        <v>7644422587.5316896</v>
      </c>
      <c r="L42" s="284">
        <f t="shared" si="6"/>
        <v>8760039000</v>
      </c>
    </row>
    <row r="43" spans="1:15" ht="5.15" customHeight="1" x14ac:dyDescent="0.25">
      <c r="A43" s="201"/>
      <c r="B43" s="293"/>
      <c r="C43" s="203"/>
      <c r="D43" s="203"/>
      <c r="E43" s="204"/>
      <c r="F43" s="205"/>
      <c r="G43" s="203"/>
      <c r="H43" s="204"/>
      <c r="I43" s="202"/>
      <c r="J43" s="206"/>
      <c r="K43" s="203"/>
      <c r="L43" s="204"/>
    </row>
    <row r="44" spans="1:15" ht="11.25" customHeight="1" x14ac:dyDescent="0.25">
      <c r="A44" s="333" t="s">
        <v>576</v>
      </c>
      <c r="B44" s="293"/>
      <c r="C44" s="203"/>
      <c r="D44" s="203"/>
      <c r="E44" s="204"/>
      <c r="F44" s="205"/>
      <c r="G44" s="203"/>
      <c r="H44" s="204"/>
      <c r="I44" s="202"/>
      <c r="J44" s="206"/>
      <c r="K44" s="203"/>
      <c r="L44" s="204"/>
    </row>
    <row r="45" spans="1:15" ht="11.25" customHeight="1" x14ac:dyDescent="0.25">
      <c r="A45" s="190" t="s">
        <v>424</v>
      </c>
      <c r="B45" s="293"/>
      <c r="C45" s="1614">
        <v>5864675782</v>
      </c>
      <c r="D45" s="1614">
        <v>6132193914</v>
      </c>
      <c r="E45" s="1634">
        <f>6242253702-65+1168725</f>
        <v>6243422362</v>
      </c>
      <c r="F45" s="1618">
        <f>7483964094.9+235158000-199679000-53258000</f>
        <v>7466185094.8999996</v>
      </c>
      <c r="G45" s="1614">
        <f>F45-116589000+252937061</f>
        <v>7602533155.8999996</v>
      </c>
      <c r="H45" s="1634">
        <f>G45</f>
        <v>7602533155.8999996</v>
      </c>
      <c r="I45" s="1634">
        <f>H45</f>
        <v>7602533155.8999996</v>
      </c>
      <c r="J45" s="1614">
        <f>7983217402.528-384167000</f>
        <v>7599050402.5279999</v>
      </c>
      <c r="K45" s="1634">
        <f>8361741382.8856-776147322.9-0.07</f>
        <v>7585594059.9156008</v>
      </c>
      <c r="L45" s="1634">
        <f>7358762000+1348063000</f>
        <v>8706825000</v>
      </c>
    </row>
    <row r="46" spans="1:15" ht="11.25" customHeight="1" x14ac:dyDescent="0.25">
      <c r="A46" s="190" t="s">
        <v>751</v>
      </c>
      <c r="B46" s="293">
        <v>4</v>
      </c>
      <c r="C46" s="203">
        <f>'SA3'!C69</f>
        <v>52480002</v>
      </c>
      <c r="D46" s="203">
        <f>'SA3'!D69</f>
        <v>53213896</v>
      </c>
      <c r="E46" s="264">
        <f>'SA3'!E69</f>
        <v>55525904</v>
      </c>
      <c r="F46" s="251">
        <f>'SA3'!F69</f>
        <v>53257910</v>
      </c>
      <c r="G46" s="203">
        <f>'SA3'!G69</f>
        <v>53258000</v>
      </c>
      <c r="H46" s="204">
        <f>'SA3'!H69</f>
        <v>53258000</v>
      </c>
      <c r="I46" s="202">
        <f>'SA3'!I69</f>
        <v>53258000</v>
      </c>
      <c r="J46" s="206">
        <f>'SA3'!J69</f>
        <v>56080579.229999997</v>
      </c>
      <c r="K46" s="203">
        <f>'SA3'!K69</f>
        <v>58828527.612269998</v>
      </c>
      <c r="L46" s="204">
        <f>'SA3'!L69</f>
        <v>53214000</v>
      </c>
    </row>
    <row r="47" spans="1:15" ht="11.25" customHeight="1" x14ac:dyDescent="0.25">
      <c r="A47" s="190" t="s">
        <v>155</v>
      </c>
      <c r="B47" s="293"/>
      <c r="C47" s="1614"/>
      <c r="D47" s="1614"/>
      <c r="E47" s="1634"/>
      <c r="F47" s="1635"/>
      <c r="G47" s="1614"/>
      <c r="H47" s="1634"/>
      <c r="I47" s="1636"/>
      <c r="J47" s="1616"/>
      <c r="K47" s="1614"/>
      <c r="L47" s="1634"/>
    </row>
    <row r="48" spans="1:15" x14ac:dyDescent="0.25">
      <c r="A48" s="224" t="s">
        <v>1080</v>
      </c>
      <c r="B48" s="306">
        <v>5</v>
      </c>
      <c r="C48" s="230">
        <f>SUM(C45:C47)</f>
        <v>5917155784</v>
      </c>
      <c r="D48" s="230">
        <f t="shared" ref="D48:L48" si="7">SUM(D45:D47)</f>
        <v>6185407810</v>
      </c>
      <c r="E48" s="228">
        <f t="shared" si="7"/>
        <v>6298948266</v>
      </c>
      <c r="F48" s="229">
        <f t="shared" si="7"/>
        <v>7519443004.8999996</v>
      </c>
      <c r="G48" s="230">
        <f t="shared" si="7"/>
        <v>7655791155.8999996</v>
      </c>
      <c r="H48" s="228">
        <f t="shared" si="7"/>
        <v>7655791155.8999996</v>
      </c>
      <c r="I48" s="231">
        <f t="shared" si="7"/>
        <v>7655791155.8999996</v>
      </c>
      <c r="J48" s="232">
        <f t="shared" si="7"/>
        <v>7655130981.7579994</v>
      </c>
      <c r="K48" s="230">
        <f t="shared" si="7"/>
        <v>7644422587.5278711</v>
      </c>
      <c r="L48" s="228">
        <f t="shared" si="7"/>
        <v>8760039000</v>
      </c>
    </row>
    <row r="49" spans="1:14" s="709" customFormat="1" x14ac:dyDescent="0.25">
      <c r="A49" s="1232" t="str">
        <f>head27a</f>
        <v>References</v>
      </c>
      <c r="B49" s="1193"/>
      <c r="C49" s="1196"/>
      <c r="D49" s="1196"/>
      <c r="E49" s="1196"/>
      <c r="F49" s="1196"/>
      <c r="G49" s="1196"/>
      <c r="H49" s="1196"/>
      <c r="I49" s="1196"/>
      <c r="J49" s="1196"/>
      <c r="K49" s="1196"/>
      <c r="L49" s="1196"/>
    </row>
    <row r="50" spans="1:14" s="709" customFormat="1" x14ac:dyDescent="0.25">
      <c r="A50" s="2695" t="s">
        <v>1443</v>
      </c>
      <c r="B50" s="2695"/>
      <c r="C50" s="2695"/>
      <c r="D50" s="2695"/>
      <c r="E50" s="2695"/>
      <c r="F50" s="2695"/>
      <c r="G50" s="2695"/>
      <c r="H50" s="2695"/>
      <c r="I50" s="2695"/>
      <c r="J50" s="2695"/>
      <c r="K50" s="2695"/>
      <c r="L50" s="2695"/>
    </row>
    <row r="51" spans="1:14" s="709" customFormat="1" ht="12.75" customHeight="1" x14ac:dyDescent="0.25">
      <c r="A51" s="1194" t="s">
        <v>1055</v>
      </c>
      <c r="B51" s="1194"/>
      <c r="C51" s="1194"/>
      <c r="D51" s="1194"/>
      <c r="E51" s="1194"/>
      <c r="F51" s="1194"/>
      <c r="G51" s="1194"/>
      <c r="H51" s="1194"/>
      <c r="I51" s="1194"/>
      <c r="J51" s="1194"/>
      <c r="K51" s="1194"/>
      <c r="L51" s="1194"/>
    </row>
    <row r="52" spans="1:14" s="709" customFormat="1" ht="12.75" customHeight="1" x14ac:dyDescent="0.25">
      <c r="A52" s="1194" t="s">
        <v>1815</v>
      </c>
      <c r="B52" s="1194"/>
      <c r="C52" s="1194"/>
      <c r="D52" s="1194"/>
      <c r="E52" s="1194"/>
      <c r="F52" s="1194"/>
      <c r="G52" s="1194"/>
      <c r="H52" s="1194"/>
      <c r="I52" s="1194"/>
      <c r="J52" s="1194"/>
      <c r="K52" s="1194"/>
      <c r="L52" s="1194"/>
    </row>
    <row r="53" spans="1:14" s="709" customFormat="1" ht="12.75" customHeight="1" x14ac:dyDescent="0.25">
      <c r="A53" s="1194" t="s">
        <v>450</v>
      </c>
      <c r="B53" s="1194"/>
      <c r="C53" s="1194"/>
      <c r="D53" s="1194"/>
      <c r="E53" s="1158"/>
      <c r="F53" s="1158"/>
      <c r="G53" s="1194"/>
      <c r="H53" s="1194"/>
      <c r="I53" s="1194"/>
      <c r="J53" s="1194"/>
      <c r="K53" s="1194"/>
      <c r="L53" s="1194"/>
    </row>
    <row r="54" spans="1:14" s="709" customFormat="1" ht="11.25" customHeight="1" x14ac:dyDescent="0.25">
      <c r="A54" s="1194" t="s">
        <v>135</v>
      </c>
      <c r="B54" s="1193"/>
      <c r="C54" s="1195"/>
      <c r="D54" s="1195"/>
      <c r="E54" s="1196"/>
      <c r="F54" s="1196"/>
      <c r="G54" s="1196"/>
      <c r="H54" s="1196"/>
      <c r="I54" s="1196"/>
      <c r="J54" s="1196"/>
      <c r="K54" s="1196"/>
      <c r="L54" s="1196"/>
    </row>
    <row r="55" spans="1:14" ht="11.25" customHeight="1" x14ac:dyDescent="0.25">
      <c r="A55" s="1263" t="s">
        <v>295</v>
      </c>
      <c r="B55" s="1193"/>
      <c r="C55" s="1267">
        <f t="shared" ref="C55:L55" si="8">C42-C48</f>
        <v>0</v>
      </c>
      <c r="D55" s="1267">
        <f t="shared" si="8"/>
        <v>0</v>
      </c>
      <c r="E55" s="1267">
        <f t="shared" si="8"/>
        <v>0</v>
      </c>
      <c r="F55" s="1267">
        <f t="shared" si="8"/>
        <v>0</v>
      </c>
      <c r="G55" s="1267">
        <f t="shared" si="8"/>
        <v>0</v>
      </c>
      <c r="H55" s="1267">
        <f t="shared" si="8"/>
        <v>0</v>
      </c>
      <c r="I55" s="1267">
        <f t="shared" si="8"/>
        <v>0</v>
      </c>
      <c r="J55" s="1267">
        <f t="shared" si="8"/>
        <v>1.0013580322265625E-3</v>
      </c>
      <c r="K55" s="1267">
        <f t="shared" si="8"/>
        <v>3.818511962890625E-3</v>
      </c>
      <c r="L55" s="1267">
        <f t="shared" si="8"/>
        <v>0</v>
      </c>
      <c r="M55" s="246"/>
      <c r="N55" s="246"/>
    </row>
    <row r="56" spans="1:14" ht="11.25" customHeight="1" x14ac:dyDescent="0.25"/>
    <row r="57" spans="1:14" ht="11.25" customHeight="1" x14ac:dyDescent="0.25">
      <c r="B57" s="149"/>
    </row>
    <row r="58" spans="1:14" ht="11.25" customHeight="1" x14ac:dyDescent="0.25">
      <c r="B58" s="149"/>
    </row>
    <row r="59" spans="1:14" ht="11.25" customHeight="1" x14ac:dyDescent="0.25">
      <c r="B59" s="149"/>
    </row>
    <row r="60" spans="1:14" ht="11.25" customHeight="1" x14ac:dyDescent="0.25">
      <c r="B60" s="149"/>
    </row>
    <row r="61" spans="1:14" ht="11.25" customHeight="1" x14ac:dyDescent="0.25"/>
    <row r="62" spans="1:14" ht="11.25" customHeight="1" x14ac:dyDescent="0.25"/>
    <row r="63" spans="1:14" ht="11.25" customHeight="1" x14ac:dyDescent="0.25"/>
    <row r="64" spans="1:1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sheetData>
  <sheetProtection password="C646" sheet="1" objects="1" scenarios="1"/>
  <mergeCells count="3">
    <mergeCell ref="A50:L50"/>
    <mergeCell ref="J2:L2"/>
    <mergeCell ref="F2:I2"/>
  </mergeCells>
  <phoneticPr fontId="2" type="noConversion"/>
  <printOptions horizontalCentered="1"/>
  <pageMargins left="0" right="0" top="0.78740157480314998" bottom="0.59055118110236204" header="0.511811023622047" footer="0.39370078740157499"/>
  <pageSetup paperSize="9" scale="82"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enableFormatConditionsCalculation="0">
    <tabColor indexed="44"/>
    <pageSetUpPr fitToPage="1"/>
  </sheetPr>
  <dimension ref="A1:P77"/>
  <sheetViews>
    <sheetView showGridLines="0" zoomScaleNormal="100" workbookViewId="0">
      <pane xSplit="2" ySplit="3" topLeftCell="D34" activePane="bottomRight" state="frozen"/>
      <selection pane="topRight"/>
      <selection pane="bottomLeft"/>
      <selection pane="bottomRight" activeCell="L55" sqref="L55"/>
    </sheetView>
  </sheetViews>
  <sheetFormatPr defaultColWidth="9.1796875" defaultRowHeight="10.5" x14ac:dyDescent="0.25"/>
  <cols>
    <col min="1" max="1" width="30.7265625" style="149" customWidth="1"/>
    <col min="2" max="2" width="3" style="247" customWidth="1"/>
    <col min="3" max="8" width="9.26953125" style="149" customWidth="1"/>
    <col min="9" max="9" width="9.1796875" style="149" customWidth="1"/>
    <col min="10" max="12" width="9.26953125" style="149" customWidth="1"/>
    <col min="13" max="13" width="9.81640625" style="149" customWidth="1"/>
    <col min="14" max="14" width="9.54296875" style="149" customWidth="1"/>
    <col min="15" max="15" width="9.81640625" style="149" customWidth="1"/>
    <col min="16" max="18" width="9.54296875" style="149" customWidth="1"/>
    <col min="19" max="19" width="9.81640625" style="149" customWidth="1"/>
    <col min="20" max="22" width="9.54296875" style="149" customWidth="1"/>
    <col min="23" max="24" width="9.81640625" style="149" customWidth="1"/>
    <col min="25" max="16384" width="9.1796875" style="149"/>
  </cols>
  <sheetData>
    <row r="1" spans="1:12" s="179" customFormat="1" ht="13" x14ac:dyDescent="0.3">
      <c r="A1" s="147" t="str">
        <f>muni&amp;" - "&amp;Approve7</f>
        <v>KZN225 Msunduzi - Table A7 Consolidated Budgeted Cash Flows</v>
      </c>
      <c r="B1" s="147"/>
      <c r="C1" s="147"/>
      <c r="D1" s="147"/>
      <c r="E1" s="147"/>
      <c r="F1" s="147"/>
      <c r="G1" s="147"/>
      <c r="H1" s="147"/>
      <c r="I1" s="147"/>
      <c r="J1" s="147"/>
      <c r="K1" s="147"/>
      <c r="L1" s="147"/>
    </row>
    <row r="2" spans="1:12" ht="28.5" customHeight="1" x14ac:dyDescent="0.25">
      <c r="A2" s="975" t="str">
        <f>desc</f>
        <v>Description</v>
      </c>
      <c r="B2" s="419" t="str">
        <f>head27</f>
        <v>Ref</v>
      </c>
      <c r="C2" s="150" t="str">
        <f>head1b</f>
        <v>2009/10</v>
      </c>
      <c r="D2" s="150" t="str">
        <f>head1A</f>
        <v>2010/11</v>
      </c>
      <c r="E2" s="146" t="str">
        <f>Head1</f>
        <v>2011/12</v>
      </c>
      <c r="F2" s="2677" t="str">
        <f>Head2</f>
        <v>Current Year 2012/13</v>
      </c>
      <c r="G2" s="2678"/>
      <c r="H2" s="2678"/>
      <c r="I2" s="2678"/>
      <c r="J2" s="2674" t="str">
        <f>Head3</f>
        <v>2013/14 Medium Term Revenue &amp; Expenditure Framework</v>
      </c>
      <c r="K2" s="2675"/>
      <c r="L2" s="2676"/>
    </row>
    <row r="3" spans="1:12" ht="21" x14ac:dyDescent="0.25">
      <c r="A3" s="180" t="s">
        <v>665</v>
      </c>
      <c r="B3" s="990"/>
      <c r="C3" s="390" t="str">
        <f>Head5</f>
        <v>Audited Outcome</v>
      </c>
      <c r="D3" s="390" t="str">
        <f>Head5</f>
        <v>Audited Outcome</v>
      </c>
      <c r="E3" s="391" t="str">
        <f>Head5</f>
        <v>Audited Outcome</v>
      </c>
      <c r="F3" s="299" t="str">
        <f>Head6</f>
        <v>Original Budget</v>
      </c>
      <c r="G3" s="390" t="str">
        <f>Head7</f>
        <v>Adjusted Budget</v>
      </c>
      <c r="H3" s="391" t="str">
        <f>Head8</f>
        <v>Full Year Forecast</v>
      </c>
      <c r="I3" s="389" t="str">
        <f>Head5b</f>
        <v>Pre-audit outcome</v>
      </c>
      <c r="J3" s="299" t="str">
        <f>Head9</f>
        <v>Budget Year 2013/14</v>
      </c>
      <c r="K3" s="390" t="str">
        <f>Head10</f>
        <v>Budget Year +1 2014/15</v>
      </c>
      <c r="L3" s="391" t="str">
        <f>Head11</f>
        <v>Budget Year +2 2015/16</v>
      </c>
    </row>
    <row r="4" spans="1:12" ht="11.25" customHeight="1" x14ac:dyDescent="0.25">
      <c r="A4" s="326" t="s">
        <v>934</v>
      </c>
      <c r="B4" s="291"/>
      <c r="C4" s="311"/>
      <c r="D4" s="311"/>
      <c r="E4" s="314"/>
      <c r="F4" s="313"/>
      <c r="G4" s="311"/>
      <c r="H4" s="314"/>
      <c r="I4" s="312"/>
      <c r="J4" s="341"/>
      <c r="K4" s="311"/>
      <c r="L4" s="314"/>
    </row>
    <row r="5" spans="1:12" ht="11.25" customHeight="1" x14ac:dyDescent="0.25">
      <c r="A5" s="333" t="s">
        <v>830</v>
      </c>
      <c r="B5" s="293"/>
      <c r="C5" s="203"/>
      <c r="D5" s="203"/>
      <c r="E5" s="204"/>
      <c r="F5" s="205"/>
      <c r="G5" s="203"/>
      <c r="H5" s="204"/>
      <c r="I5" s="202"/>
      <c r="J5" s="206"/>
      <c r="K5" s="203"/>
      <c r="L5" s="204"/>
    </row>
    <row r="6" spans="1:12" ht="11.25" customHeight="1" x14ac:dyDescent="0.25">
      <c r="A6" s="325" t="s">
        <v>1471</v>
      </c>
      <c r="B6" s="293"/>
      <c r="C6" s="1614">
        <v>1969438279</v>
      </c>
      <c r="D6" s="1614">
        <v>2356072593</v>
      </c>
      <c r="E6" s="1634">
        <f>2829354642-91700909</f>
        <v>2737653733</v>
      </c>
      <c r="F6" s="1635">
        <v>2360144000</v>
      </c>
      <c r="G6" s="1614">
        <f>F6+641071380</f>
        <v>3001215380</v>
      </c>
      <c r="H6" s="1614">
        <f>G6</f>
        <v>3001215380</v>
      </c>
      <c r="I6" s="1614">
        <f>G6</f>
        <v>3001215380</v>
      </c>
      <c r="J6" s="1614">
        <v>3068460000</v>
      </c>
      <c r="K6" s="1634">
        <f>2835970000+105341000</f>
        <v>2941311000</v>
      </c>
      <c r="L6" s="1634">
        <v>3124741000</v>
      </c>
    </row>
    <row r="7" spans="1:12" ht="11.25" customHeight="1" x14ac:dyDescent="0.25">
      <c r="A7" s="325" t="s">
        <v>1472</v>
      </c>
      <c r="B7" s="293">
        <v>1</v>
      </c>
      <c r="C7" s="1614"/>
      <c r="D7" s="1614">
        <v>0</v>
      </c>
      <c r="E7" s="1634">
        <v>0</v>
      </c>
      <c r="F7" s="1635">
        <v>365204000</v>
      </c>
      <c r="G7" s="1053">
        <f>56965551+F7</f>
        <v>422169551</v>
      </c>
      <c r="H7" s="1053">
        <f>G7</f>
        <v>422169551</v>
      </c>
      <c r="I7" s="1053">
        <f>H7</f>
        <v>422169551</v>
      </c>
      <c r="J7" s="1614">
        <v>406200000</v>
      </c>
      <c r="K7" s="1634">
        <v>424310000</v>
      </c>
      <c r="L7" s="1634">
        <v>395917000</v>
      </c>
    </row>
    <row r="8" spans="1:12" ht="11.25" customHeight="1" x14ac:dyDescent="0.25">
      <c r="A8" s="325" t="s">
        <v>1473</v>
      </c>
      <c r="B8" s="293">
        <v>1</v>
      </c>
      <c r="C8" s="1614"/>
      <c r="D8" s="1614">
        <v>0</v>
      </c>
      <c r="E8" s="1634">
        <v>0</v>
      </c>
      <c r="F8" s="1635">
        <v>230014000</v>
      </c>
      <c r="G8" s="1053">
        <f>33915146+F8</f>
        <v>263929146</v>
      </c>
      <c r="H8" s="1053">
        <f>G8</f>
        <v>263929146</v>
      </c>
      <c r="I8" s="1053">
        <f>H8</f>
        <v>263929146</v>
      </c>
      <c r="J8" s="1614">
        <v>415658000</v>
      </c>
      <c r="K8" s="1634">
        <v>194271000</v>
      </c>
      <c r="L8" s="1634">
        <v>192390000</v>
      </c>
    </row>
    <row r="9" spans="1:12" ht="11.25" customHeight="1" x14ac:dyDescent="0.25">
      <c r="A9" s="325" t="s">
        <v>344</v>
      </c>
      <c r="B9" s="293"/>
      <c r="C9" s="1614">
        <v>27918013</v>
      </c>
      <c r="D9" s="1614">
        <v>51796184</v>
      </c>
      <c r="E9" s="1634">
        <v>91700909</v>
      </c>
      <c r="F9" s="1635">
        <v>12100000</v>
      </c>
      <c r="G9" s="1053">
        <f>6256634+F9</f>
        <v>18356634</v>
      </c>
      <c r="H9" s="1053">
        <f>G9</f>
        <v>18356634</v>
      </c>
      <c r="I9" s="1053">
        <f>H9</f>
        <v>18356634</v>
      </c>
      <c r="J9" s="1614">
        <v>18941000</v>
      </c>
      <c r="K9" s="1634">
        <v>0</v>
      </c>
      <c r="L9" s="1634">
        <v>0</v>
      </c>
    </row>
    <row r="10" spans="1:12" ht="11.25" customHeight="1" x14ac:dyDescent="0.25">
      <c r="A10" s="325" t="s">
        <v>605</v>
      </c>
      <c r="B10" s="293"/>
      <c r="C10" s="1614"/>
      <c r="D10" s="1614">
        <v>0</v>
      </c>
      <c r="E10" s="1634">
        <v>0</v>
      </c>
      <c r="F10" s="1635">
        <v>0</v>
      </c>
      <c r="G10" s="1614">
        <v>0</v>
      </c>
      <c r="H10" s="1634">
        <v>0</v>
      </c>
      <c r="I10" s="1636">
        <v>0</v>
      </c>
      <c r="J10" s="1614">
        <v>0</v>
      </c>
      <c r="K10" s="1634">
        <v>0</v>
      </c>
      <c r="L10" s="1634">
        <v>0</v>
      </c>
    </row>
    <row r="11" spans="1:12" ht="11.25" customHeight="1" x14ac:dyDescent="0.25">
      <c r="A11" s="333" t="s">
        <v>831</v>
      </c>
      <c r="B11" s="293"/>
      <c r="C11" s="207"/>
      <c r="D11" s="203"/>
      <c r="E11" s="204"/>
      <c r="F11" s="205"/>
      <c r="G11" s="203"/>
      <c r="H11" s="204"/>
      <c r="I11" s="202"/>
      <c r="J11" s="206"/>
      <c r="K11" s="203"/>
      <c r="L11" s="204"/>
    </row>
    <row r="12" spans="1:12" ht="11.25" customHeight="1" x14ac:dyDescent="0.25">
      <c r="A12" s="325" t="s">
        <v>1474</v>
      </c>
      <c r="B12" s="293"/>
      <c r="C12" s="1614">
        <v>-1885515763</v>
      </c>
      <c r="D12" s="1614">
        <v>-1855617586</v>
      </c>
      <c r="E12" s="1634">
        <v>-2320889741</v>
      </c>
      <c r="F12" s="1635">
        <v>-2642049000</v>
      </c>
      <c r="G12" s="1053">
        <f>-574615181+F12</f>
        <v>-3216664181</v>
      </c>
      <c r="H12" s="1053">
        <f t="shared" ref="H12:I14" si="0">G12</f>
        <v>-3216664181</v>
      </c>
      <c r="I12" s="1053">
        <f t="shared" si="0"/>
        <v>-3216664181</v>
      </c>
      <c r="J12" s="1614">
        <f>-3146719000-60000000-415658000+200000000</f>
        <v>-3422377000</v>
      </c>
      <c r="K12" s="1634">
        <v>-3211793000</v>
      </c>
      <c r="L12" s="1634">
        <v>-3511794000</v>
      </c>
    </row>
    <row r="13" spans="1:12" ht="11.25" customHeight="1" x14ac:dyDescent="0.25">
      <c r="A13" s="325" t="s">
        <v>1549</v>
      </c>
      <c r="B13" s="293"/>
      <c r="C13" s="1614">
        <v>-73753994</v>
      </c>
      <c r="D13" s="1614">
        <v>-71568061</v>
      </c>
      <c r="E13" s="1634">
        <v>-72134067</v>
      </c>
      <c r="F13" s="1635">
        <v>-77500000</v>
      </c>
      <c r="G13" s="1053">
        <f>6669325+F13</f>
        <v>-70830675</v>
      </c>
      <c r="H13" s="1053">
        <f t="shared" si="0"/>
        <v>-70830675</v>
      </c>
      <c r="I13" s="1053">
        <f t="shared" si="0"/>
        <v>-70830675</v>
      </c>
      <c r="J13" s="1614">
        <v>-64600000</v>
      </c>
      <c r="K13" s="1634">
        <v>-59255000</v>
      </c>
      <c r="L13" s="1634">
        <v>-54480000</v>
      </c>
    </row>
    <row r="14" spans="1:12" ht="11.25" customHeight="1" x14ac:dyDescent="0.25">
      <c r="A14" s="325" t="s">
        <v>1278</v>
      </c>
      <c r="B14" s="293">
        <v>1</v>
      </c>
      <c r="C14" s="1614">
        <v>0</v>
      </c>
      <c r="D14" s="1614">
        <v>0</v>
      </c>
      <c r="E14" s="1634">
        <v>0</v>
      </c>
      <c r="F14" s="1635">
        <v>-4500000</v>
      </c>
      <c r="G14" s="1053">
        <f>0+F14</f>
        <v>-4500000</v>
      </c>
      <c r="H14" s="1053">
        <f t="shared" si="0"/>
        <v>-4500000</v>
      </c>
      <c r="I14" s="1053">
        <f t="shared" si="0"/>
        <v>-4500000</v>
      </c>
      <c r="J14" s="1614">
        <v>-5027000</v>
      </c>
      <c r="K14" s="1634">
        <v>-5274000</v>
      </c>
      <c r="L14" s="1634">
        <v>-5563000</v>
      </c>
    </row>
    <row r="15" spans="1:12" ht="11.25" customHeight="1" x14ac:dyDescent="0.25">
      <c r="A15" s="342" t="s">
        <v>696</v>
      </c>
      <c r="B15" s="343"/>
      <c r="C15" s="813">
        <f>SUM(C6:C10)+SUM(C12:C14)</f>
        <v>38086535</v>
      </c>
      <c r="D15" s="813">
        <f t="shared" ref="D15:L15" si="1">SUM(D6:D10)+SUM(D12:D14)</f>
        <v>480683130</v>
      </c>
      <c r="E15" s="814">
        <f t="shared" si="1"/>
        <v>436330834</v>
      </c>
      <c r="F15" s="815">
        <f t="shared" si="1"/>
        <v>243413000</v>
      </c>
      <c r="G15" s="813">
        <f t="shared" si="1"/>
        <v>413675855</v>
      </c>
      <c r="H15" s="816">
        <f t="shared" si="1"/>
        <v>413675855</v>
      </c>
      <c r="I15" s="815">
        <f t="shared" si="1"/>
        <v>413675855</v>
      </c>
      <c r="J15" s="1107">
        <f t="shared" si="1"/>
        <v>417255000</v>
      </c>
      <c r="K15" s="813">
        <f t="shared" si="1"/>
        <v>283570000</v>
      </c>
      <c r="L15" s="814">
        <f t="shared" si="1"/>
        <v>141211000</v>
      </c>
    </row>
    <row r="16" spans="1:12" ht="5.15" customHeight="1" x14ac:dyDescent="0.25">
      <c r="A16" s="201"/>
      <c r="B16" s="293"/>
      <c r="C16" s="203"/>
      <c r="D16" s="203"/>
      <c r="E16" s="204"/>
      <c r="F16" s="205"/>
      <c r="G16" s="203"/>
      <c r="H16" s="204"/>
      <c r="I16" s="202"/>
      <c r="J16" s="206"/>
      <c r="K16" s="203"/>
      <c r="L16" s="204"/>
    </row>
    <row r="17" spans="1:12" ht="11.25" customHeight="1" x14ac:dyDescent="0.25">
      <c r="A17" s="326" t="s">
        <v>296</v>
      </c>
      <c r="B17" s="293"/>
      <c r="C17" s="203"/>
      <c r="D17" s="203"/>
      <c r="E17" s="204"/>
      <c r="F17" s="205"/>
      <c r="G17" s="203"/>
      <c r="H17" s="204"/>
      <c r="I17" s="202"/>
      <c r="J17" s="206"/>
      <c r="K17" s="203"/>
      <c r="L17" s="204"/>
    </row>
    <row r="18" spans="1:12" ht="11.25" customHeight="1" x14ac:dyDescent="0.25">
      <c r="A18" s="326" t="s">
        <v>830</v>
      </c>
      <c r="B18" s="293"/>
      <c r="C18" s="218"/>
      <c r="D18" s="218"/>
      <c r="E18" s="219"/>
      <c r="F18" s="220"/>
      <c r="G18" s="218"/>
      <c r="H18" s="219"/>
      <c r="I18" s="217"/>
      <c r="J18" s="221"/>
      <c r="K18" s="218"/>
      <c r="L18" s="219"/>
    </row>
    <row r="19" spans="1:12" ht="11.25" customHeight="1" x14ac:dyDescent="0.25">
      <c r="A19" s="325" t="s">
        <v>1523</v>
      </c>
      <c r="B19" s="293"/>
      <c r="C19" s="1614">
        <v>1937411</v>
      </c>
      <c r="D19" s="1614">
        <v>11071616</v>
      </c>
      <c r="E19" s="1634">
        <v>1684430</v>
      </c>
      <c r="F19" s="1637">
        <v>0</v>
      </c>
      <c r="G19" s="1637">
        <v>0</v>
      </c>
      <c r="H19" s="1637">
        <v>0</v>
      </c>
      <c r="I19" s="1637">
        <v>0</v>
      </c>
      <c r="J19" s="1637">
        <v>0</v>
      </c>
      <c r="K19" s="1637">
        <v>0</v>
      </c>
      <c r="L19" s="1638">
        <v>0</v>
      </c>
    </row>
    <row r="20" spans="1:12" ht="11.25" customHeight="1" x14ac:dyDescent="0.25">
      <c r="A20" s="325" t="s">
        <v>1239</v>
      </c>
      <c r="B20" s="293"/>
      <c r="C20" s="1614"/>
      <c r="D20" s="1637"/>
      <c r="E20" s="1638"/>
      <c r="F20" s="1637">
        <v>0</v>
      </c>
      <c r="G20" s="1637">
        <v>0</v>
      </c>
      <c r="H20" s="1637">
        <v>0</v>
      </c>
      <c r="I20" s="1637">
        <v>0</v>
      </c>
      <c r="J20" s="1637">
        <v>0</v>
      </c>
      <c r="K20" s="1637">
        <v>0</v>
      </c>
      <c r="L20" s="1634">
        <v>-620000</v>
      </c>
    </row>
    <row r="21" spans="1:12" ht="11.25" customHeight="1" x14ac:dyDescent="0.25">
      <c r="A21" s="325" t="s">
        <v>694</v>
      </c>
      <c r="B21" s="293"/>
      <c r="C21" s="1637">
        <v>502769</v>
      </c>
      <c r="D21" s="1614">
        <v>-2505476</v>
      </c>
      <c r="E21" s="1634">
        <f>-1487367-358811357</f>
        <v>-360298724</v>
      </c>
      <c r="F21" s="1639">
        <v>-1566000</v>
      </c>
      <c r="G21" s="1637">
        <v>0</v>
      </c>
      <c r="H21" s="1638">
        <f>F21</f>
        <v>-1566000</v>
      </c>
      <c r="I21" s="1636">
        <f>H21</f>
        <v>-1566000</v>
      </c>
      <c r="J21" s="1637">
        <v>-422000</v>
      </c>
      <c r="K21" s="1638">
        <v>-411000</v>
      </c>
      <c r="L21" s="1638">
        <v>0</v>
      </c>
    </row>
    <row r="22" spans="1:12" ht="11.25" customHeight="1" x14ac:dyDescent="0.25">
      <c r="A22" s="325" t="s">
        <v>695</v>
      </c>
      <c r="B22" s="293"/>
      <c r="C22" s="1614">
        <v>122674756</v>
      </c>
      <c r="D22" s="1614"/>
      <c r="E22" s="1634"/>
      <c r="F22" s="1635">
        <v>2096000</v>
      </c>
      <c r="G22" s="1614">
        <v>0</v>
      </c>
      <c r="H22" s="1634">
        <f>F22</f>
        <v>2096000</v>
      </c>
      <c r="I22" s="1636">
        <f>H22</f>
        <v>2096000</v>
      </c>
      <c r="J22" s="1614">
        <v>-3000</v>
      </c>
      <c r="K22" s="1634">
        <v>-4000</v>
      </c>
      <c r="L22" s="1634">
        <v>0</v>
      </c>
    </row>
    <row r="23" spans="1:12" ht="11.25" customHeight="1" x14ac:dyDescent="0.25">
      <c r="A23" s="326" t="s">
        <v>831</v>
      </c>
      <c r="B23" s="293"/>
      <c r="C23" s="1290"/>
      <c r="D23" s="1290"/>
      <c r="E23" s="1330"/>
      <c r="F23" s="1331"/>
      <c r="G23" s="1290"/>
      <c r="H23" s="1330"/>
      <c r="I23" s="1332"/>
      <c r="J23" s="1291"/>
      <c r="K23" s="1290"/>
      <c r="L23" s="1330"/>
    </row>
    <row r="24" spans="1:12" ht="11.25" customHeight="1" x14ac:dyDescent="0.25">
      <c r="A24" s="190" t="s">
        <v>1475</v>
      </c>
      <c r="B24" s="293"/>
      <c r="C24" s="1614">
        <v>-154961519</v>
      </c>
      <c r="D24" s="1614">
        <v>-311400634</v>
      </c>
      <c r="E24" s="1634">
        <v>148383086</v>
      </c>
      <c r="F24" s="1635">
        <v>-230014000</v>
      </c>
      <c r="G24" s="1053">
        <f>-33915146+F24</f>
        <v>-263929146</v>
      </c>
      <c r="H24" s="1634">
        <f>G24</f>
        <v>-263929146</v>
      </c>
      <c r="I24" s="1636">
        <f>H24</f>
        <v>-263929146</v>
      </c>
      <c r="J24" s="1616">
        <v>-415658000</v>
      </c>
      <c r="K24" s="1614">
        <v>-194271000</v>
      </c>
      <c r="L24" s="1634">
        <v>-192390000</v>
      </c>
    </row>
    <row r="25" spans="1:12" ht="11.25" customHeight="1" x14ac:dyDescent="0.25">
      <c r="A25" s="342" t="s">
        <v>697</v>
      </c>
      <c r="B25" s="343"/>
      <c r="C25" s="813">
        <f>SUM(C19:C22)+C24</f>
        <v>-29846583</v>
      </c>
      <c r="D25" s="813">
        <f t="shared" ref="D25:L25" si="2">SUM(D19:D22)+D24</f>
        <v>-302834494</v>
      </c>
      <c r="E25" s="814">
        <f t="shared" si="2"/>
        <v>-210231208</v>
      </c>
      <c r="F25" s="815">
        <f t="shared" si="2"/>
        <v>-229484000</v>
      </c>
      <c r="G25" s="813">
        <f t="shared" si="2"/>
        <v>-263929146</v>
      </c>
      <c r="H25" s="814">
        <f t="shared" si="2"/>
        <v>-263399146</v>
      </c>
      <c r="I25" s="816">
        <f t="shared" si="2"/>
        <v>-263399146</v>
      </c>
      <c r="J25" s="1107">
        <f t="shared" si="2"/>
        <v>-416083000</v>
      </c>
      <c r="K25" s="813">
        <f t="shared" si="2"/>
        <v>-194686000</v>
      </c>
      <c r="L25" s="814">
        <f t="shared" si="2"/>
        <v>-193010000</v>
      </c>
    </row>
    <row r="26" spans="1:12" ht="5.15" customHeight="1" x14ac:dyDescent="0.25">
      <c r="A26" s="201"/>
      <c r="B26" s="293"/>
      <c r="C26" s="203"/>
      <c r="D26" s="203"/>
      <c r="E26" s="204"/>
      <c r="F26" s="205"/>
      <c r="G26" s="203"/>
      <c r="H26" s="204"/>
      <c r="I26" s="202"/>
      <c r="J26" s="206"/>
      <c r="K26" s="203"/>
      <c r="L26" s="204"/>
    </row>
    <row r="27" spans="1:12" ht="11.25" customHeight="1" x14ac:dyDescent="0.25">
      <c r="A27" s="326" t="s">
        <v>1292</v>
      </c>
      <c r="B27" s="293"/>
      <c r="C27" s="203"/>
      <c r="D27" s="203"/>
      <c r="E27" s="204"/>
      <c r="F27" s="205"/>
      <c r="G27" s="203"/>
      <c r="H27" s="204"/>
      <c r="I27" s="202"/>
      <c r="J27" s="206"/>
      <c r="K27" s="203"/>
      <c r="L27" s="204"/>
    </row>
    <row r="28" spans="1:12" ht="11.25" customHeight="1" x14ac:dyDescent="0.25">
      <c r="A28" s="326" t="s">
        <v>830</v>
      </c>
      <c r="B28" s="293"/>
      <c r="C28" s="203"/>
      <c r="D28" s="203"/>
      <c r="E28" s="204"/>
      <c r="F28" s="205"/>
      <c r="G28" s="203"/>
      <c r="H28" s="204"/>
      <c r="I28" s="202"/>
      <c r="J28" s="206"/>
      <c r="K28" s="203"/>
      <c r="L28" s="204"/>
    </row>
    <row r="29" spans="1:12" ht="11.25" customHeight="1" x14ac:dyDescent="0.25">
      <c r="A29" s="190" t="s">
        <v>833</v>
      </c>
      <c r="B29" s="293"/>
      <c r="C29" s="1614">
        <v>-50000000</v>
      </c>
      <c r="D29" s="1614"/>
      <c r="E29" s="1634">
        <v>0</v>
      </c>
      <c r="F29" s="1637">
        <v>0</v>
      </c>
      <c r="G29" s="1637">
        <v>0</v>
      </c>
      <c r="H29" s="1637">
        <v>0</v>
      </c>
      <c r="I29" s="1637">
        <v>0</v>
      </c>
      <c r="J29" s="1637">
        <v>0</v>
      </c>
      <c r="K29" s="1637">
        <v>0</v>
      </c>
      <c r="L29" s="1637">
        <v>0</v>
      </c>
    </row>
    <row r="30" spans="1:12" ht="11.25" customHeight="1" x14ac:dyDescent="0.25">
      <c r="A30" s="325" t="s">
        <v>797</v>
      </c>
      <c r="B30" s="293"/>
      <c r="C30" s="1614">
        <v>188605840</v>
      </c>
      <c r="D30" s="1614">
        <v>-56885075</v>
      </c>
      <c r="E30" s="1634">
        <v>112361377</v>
      </c>
      <c r="F30" s="1637">
        <v>0</v>
      </c>
      <c r="G30" s="1637">
        <v>0</v>
      </c>
      <c r="H30" s="1637">
        <v>0</v>
      </c>
      <c r="I30" s="1637">
        <v>0</v>
      </c>
      <c r="J30" s="1637">
        <v>0</v>
      </c>
      <c r="K30" s="1637">
        <v>0</v>
      </c>
      <c r="L30" s="1637">
        <v>-42870000</v>
      </c>
    </row>
    <row r="31" spans="1:12" ht="11.25" customHeight="1" x14ac:dyDescent="0.25">
      <c r="A31" s="325" t="s">
        <v>384</v>
      </c>
      <c r="B31" s="293"/>
      <c r="C31" s="1614">
        <v>985925</v>
      </c>
      <c r="D31" s="1614">
        <v>34839391</v>
      </c>
      <c r="E31" s="1634">
        <v>1014338</v>
      </c>
      <c r="F31" s="1635">
        <v>-14000</v>
      </c>
      <c r="G31" s="1637">
        <f>F31</f>
        <v>-14000</v>
      </c>
      <c r="H31" s="1638">
        <f>F31</f>
        <v>-14000</v>
      </c>
      <c r="I31" s="1640">
        <f>F31</f>
        <v>-14000</v>
      </c>
      <c r="J31" s="1614">
        <v>3722000</v>
      </c>
      <c r="K31" s="1634">
        <v>3623000</v>
      </c>
      <c r="L31" s="1637">
        <v>5350000</v>
      </c>
    </row>
    <row r="32" spans="1:12" ht="11.25" customHeight="1" x14ac:dyDescent="0.25">
      <c r="A32" s="333" t="s">
        <v>831</v>
      </c>
      <c r="B32" s="293"/>
      <c r="C32" s="1290"/>
      <c r="D32" s="1290"/>
      <c r="E32" s="1330"/>
      <c r="F32" s="1331"/>
      <c r="G32" s="1290"/>
      <c r="H32" s="1330"/>
      <c r="I32" s="1332"/>
      <c r="J32" s="1291"/>
      <c r="K32" s="1290"/>
      <c r="L32" s="1330"/>
    </row>
    <row r="33" spans="1:16" ht="11.25" customHeight="1" x14ac:dyDescent="0.25">
      <c r="A33" s="325" t="s">
        <v>832</v>
      </c>
      <c r="B33" s="293"/>
      <c r="C33" s="1614"/>
      <c r="D33" s="1614"/>
      <c r="E33" s="1634">
        <f>-49779370</f>
        <v>-49779370</v>
      </c>
      <c r="F33" s="1635">
        <v>19729000</v>
      </c>
      <c r="G33" s="1614">
        <f>F33</f>
        <v>19729000</v>
      </c>
      <c r="H33" s="1634">
        <f>F33</f>
        <v>19729000</v>
      </c>
      <c r="I33" s="1636">
        <f>H33</f>
        <v>19729000</v>
      </c>
      <c r="J33" s="1614">
        <v>38030000</v>
      </c>
      <c r="K33" s="1634">
        <v>37022000</v>
      </c>
      <c r="L33" s="1634">
        <v>270665000</v>
      </c>
    </row>
    <row r="34" spans="1:16" ht="11.25" customHeight="1" x14ac:dyDescent="0.25">
      <c r="A34" s="342" t="s">
        <v>829</v>
      </c>
      <c r="B34" s="343"/>
      <c r="C34" s="813">
        <f>SUM(C29:C31)+C33</f>
        <v>139591765</v>
      </c>
      <c r="D34" s="813">
        <f t="shared" ref="D34:L34" si="3">SUM(D29:D31)+D33</f>
        <v>-22045684</v>
      </c>
      <c r="E34" s="814">
        <f t="shared" si="3"/>
        <v>63596345</v>
      </c>
      <c r="F34" s="815">
        <f t="shared" si="3"/>
        <v>19715000</v>
      </c>
      <c r="G34" s="813">
        <f t="shared" si="3"/>
        <v>19715000</v>
      </c>
      <c r="H34" s="814">
        <f t="shared" si="3"/>
        <v>19715000</v>
      </c>
      <c r="I34" s="816">
        <f t="shared" si="3"/>
        <v>19715000</v>
      </c>
      <c r="J34" s="1107">
        <f t="shared" si="3"/>
        <v>41752000</v>
      </c>
      <c r="K34" s="813">
        <f t="shared" si="3"/>
        <v>40645000</v>
      </c>
      <c r="L34" s="814">
        <f t="shared" si="3"/>
        <v>233145000</v>
      </c>
    </row>
    <row r="35" spans="1:16" ht="5.15" customHeight="1" x14ac:dyDescent="0.25">
      <c r="A35" s="201"/>
      <c r="B35" s="293"/>
      <c r="C35" s="203"/>
      <c r="D35" s="203"/>
      <c r="E35" s="204"/>
      <c r="F35" s="205"/>
      <c r="G35" s="203"/>
      <c r="H35" s="204"/>
      <c r="I35" s="202"/>
      <c r="J35" s="206"/>
      <c r="K35" s="203"/>
      <c r="L35" s="204"/>
    </row>
    <row r="36" spans="1:16" ht="11.25" customHeight="1" x14ac:dyDescent="0.25">
      <c r="A36" s="326" t="s">
        <v>1558</v>
      </c>
      <c r="B36" s="293"/>
      <c r="C36" s="218">
        <f>C15+C25+C34</f>
        <v>147831717</v>
      </c>
      <c r="D36" s="218">
        <f t="shared" ref="D36:L36" si="4">D15+D25+D34</f>
        <v>155802952</v>
      </c>
      <c r="E36" s="219">
        <f t="shared" si="4"/>
        <v>289695971</v>
      </c>
      <c r="F36" s="220">
        <f t="shared" si="4"/>
        <v>33644000</v>
      </c>
      <c r="G36" s="218">
        <f t="shared" si="4"/>
        <v>169461709</v>
      </c>
      <c r="H36" s="219">
        <f t="shared" si="4"/>
        <v>169991709</v>
      </c>
      <c r="I36" s="217">
        <f t="shared" si="4"/>
        <v>169991709</v>
      </c>
      <c r="J36" s="221">
        <f t="shared" si="4"/>
        <v>42924000</v>
      </c>
      <c r="K36" s="218">
        <f t="shared" si="4"/>
        <v>129529000</v>
      </c>
      <c r="L36" s="219">
        <f t="shared" si="4"/>
        <v>181346000</v>
      </c>
    </row>
    <row r="37" spans="1:16" ht="11.25" customHeight="1" x14ac:dyDescent="0.25">
      <c r="A37" s="190" t="s">
        <v>935</v>
      </c>
      <c r="B37" s="293">
        <v>2</v>
      </c>
      <c r="C37" s="1647">
        <v>317603824</v>
      </c>
      <c r="D37" s="218">
        <f>C38</f>
        <v>465435541</v>
      </c>
      <c r="E37" s="345">
        <f>D38</f>
        <v>621238493</v>
      </c>
      <c r="F37" s="1618">
        <v>478248000</v>
      </c>
      <c r="G37" s="1647">
        <f>F37</f>
        <v>478248000</v>
      </c>
      <c r="H37" s="1648">
        <f>F37</f>
        <v>478248000</v>
      </c>
      <c r="I37" s="217">
        <f>G37</f>
        <v>478248000</v>
      </c>
      <c r="J37" s="1653">
        <v>648240000</v>
      </c>
      <c r="K37" s="218">
        <f>J38</f>
        <v>691164000</v>
      </c>
      <c r="L37" s="219">
        <f>K38</f>
        <v>820693000</v>
      </c>
    </row>
    <row r="38" spans="1:16" ht="11.25" customHeight="1" x14ac:dyDescent="0.25">
      <c r="A38" s="1314" t="s">
        <v>1279</v>
      </c>
      <c r="B38" s="347">
        <v>2</v>
      </c>
      <c r="C38" s="283">
        <f>C36+C37</f>
        <v>465435541</v>
      </c>
      <c r="D38" s="348">
        <f>D36+D37</f>
        <v>621238493</v>
      </c>
      <c r="E38" s="284">
        <f>E36+E37</f>
        <v>910934464</v>
      </c>
      <c r="F38" s="285">
        <f t="shared" ref="F38:L38" si="5">F36+F37</f>
        <v>511892000</v>
      </c>
      <c r="G38" s="283">
        <f t="shared" si="5"/>
        <v>647709709</v>
      </c>
      <c r="H38" s="284">
        <f t="shared" si="5"/>
        <v>648239709</v>
      </c>
      <c r="I38" s="1024">
        <f t="shared" si="5"/>
        <v>648239709</v>
      </c>
      <c r="J38" s="349">
        <f t="shared" si="5"/>
        <v>691164000</v>
      </c>
      <c r="K38" s="283">
        <f t="shared" si="5"/>
        <v>820693000</v>
      </c>
      <c r="L38" s="284">
        <f t="shared" si="5"/>
        <v>1002039000</v>
      </c>
    </row>
    <row r="39" spans="1:16" s="709" customFormat="1" ht="11.25" customHeight="1" x14ac:dyDescent="0.25">
      <c r="A39" s="1232" t="str">
        <f>head27a</f>
        <v>References</v>
      </c>
      <c r="B39" s="1233"/>
      <c r="C39" s="1237"/>
      <c r="D39" s="1235"/>
      <c r="E39" s="1237"/>
      <c r="F39" s="1237"/>
      <c r="G39" s="1237"/>
      <c r="H39" s="1237"/>
      <c r="I39" s="1237"/>
      <c r="J39" s="1237"/>
      <c r="K39" s="1237"/>
      <c r="L39" s="1237"/>
      <c r="M39" s="149"/>
      <c r="N39" s="149"/>
      <c r="O39" s="149"/>
      <c r="P39" s="149"/>
    </row>
    <row r="40" spans="1:16" s="709" customFormat="1" ht="11.25" customHeight="1" x14ac:dyDescent="0.25">
      <c r="A40" s="1194" t="s">
        <v>1124</v>
      </c>
      <c r="B40" s="1233"/>
      <c r="C40" s="1237"/>
      <c r="D40" s="1235"/>
      <c r="E40" s="1237"/>
      <c r="F40" s="1237"/>
      <c r="G40" s="1237"/>
      <c r="H40" s="1237"/>
      <c r="I40" s="1237"/>
      <c r="J40" s="1237"/>
      <c r="K40" s="1237"/>
      <c r="L40" s="1237"/>
      <c r="M40" s="149"/>
      <c r="N40" s="149"/>
      <c r="O40" s="149"/>
      <c r="P40" s="149"/>
    </row>
    <row r="41" spans="1:16" s="709" customFormat="1" ht="11.25" customHeight="1" x14ac:dyDescent="0.25">
      <c r="A41" s="1194" t="s">
        <v>936</v>
      </c>
      <c r="B41" s="1233"/>
      <c r="C41" s="1236"/>
      <c r="D41" s="1236"/>
      <c r="E41" s="1237"/>
      <c r="F41" s="1237"/>
      <c r="G41" s="1237"/>
      <c r="H41" s="1237"/>
      <c r="I41" s="1237"/>
      <c r="J41" s="1237"/>
      <c r="K41" s="1237"/>
      <c r="L41" s="1237"/>
      <c r="N41" s="149"/>
      <c r="O41" s="149"/>
      <c r="P41" s="149"/>
    </row>
    <row r="42" spans="1:16" ht="11.25" customHeight="1" x14ac:dyDescent="0.25">
      <c r="A42" s="1263"/>
      <c r="B42" s="1193"/>
      <c r="C42" s="1239"/>
      <c r="D42" s="1239"/>
      <c r="E42" s="1265"/>
      <c r="F42" s="1240"/>
      <c r="G42" s="1240"/>
      <c r="H42" s="1240"/>
      <c r="I42" s="1240"/>
      <c r="J42" s="1240"/>
      <c r="K42" s="1240"/>
      <c r="L42" s="1240"/>
    </row>
    <row r="43" spans="1:16" ht="11.25" customHeight="1" x14ac:dyDescent="0.25">
      <c r="A43" s="1264" t="s">
        <v>619</v>
      </c>
      <c r="B43" s="1233"/>
      <c r="C43" s="1224">
        <f>SUM(C6:C10)+SUM(C19:C21)</f>
        <v>1999796472</v>
      </c>
      <c r="D43" s="1224">
        <f t="shared" ref="D43:L43" si="6">SUM(D6:D10)+SUM(D19:D21)</f>
        <v>2416434917</v>
      </c>
      <c r="E43" s="1224">
        <f t="shared" si="6"/>
        <v>2470740348</v>
      </c>
      <c r="F43" s="1224">
        <f t="shared" si="6"/>
        <v>2965896000</v>
      </c>
      <c r="G43" s="1224">
        <f t="shared" si="6"/>
        <v>3705670711</v>
      </c>
      <c r="H43" s="1224">
        <f t="shared" si="6"/>
        <v>3704104711</v>
      </c>
      <c r="I43" s="1224">
        <f t="shared" si="6"/>
        <v>3704104711</v>
      </c>
      <c r="J43" s="1224">
        <f t="shared" si="6"/>
        <v>3908837000</v>
      </c>
      <c r="K43" s="1224">
        <f t="shared" si="6"/>
        <v>3559481000</v>
      </c>
      <c r="L43" s="1224">
        <f t="shared" si="6"/>
        <v>3712428000</v>
      </c>
    </row>
    <row r="44" spans="1:16" ht="11.25" customHeight="1" x14ac:dyDescent="0.25">
      <c r="A44" s="1264" t="s">
        <v>265</v>
      </c>
      <c r="B44" s="1233"/>
      <c r="C44" s="1224">
        <f>SUM(C12:C14)+C24</f>
        <v>-2114231276</v>
      </c>
      <c r="D44" s="1224">
        <f t="shared" ref="D44:L44" si="7">SUM(D12:D14)+D24</f>
        <v>-2238586281</v>
      </c>
      <c r="E44" s="1224">
        <f t="shared" si="7"/>
        <v>-2244640722</v>
      </c>
      <c r="F44" s="1224">
        <f t="shared" si="7"/>
        <v>-2954063000</v>
      </c>
      <c r="G44" s="1224">
        <f t="shared" si="7"/>
        <v>-3555924002</v>
      </c>
      <c r="H44" s="1224">
        <f t="shared" si="7"/>
        <v>-3555924002</v>
      </c>
      <c r="I44" s="1224">
        <f t="shared" si="7"/>
        <v>-3555924002</v>
      </c>
      <c r="J44" s="1224">
        <f t="shared" si="7"/>
        <v>-3907662000</v>
      </c>
      <c r="K44" s="1224">
        <f t="shared" si="7"/>
        <v>-3470593000</v>
      </c>
      <c r="L44" s="1224">
        <f t="shared" si="7"/>
        <v>-3764227000</v>
      </c>
    </row>
    <row r="45" spans="1:16" ht="11.25" customHeight="1" x14ac:dyDescent="0.25">
      <c r="A45" s="1264"/>
      <c r="B45" s="1233"/>
      <c r="C45" s="1224">
        <f>C43+C44</f>
        <v>-114434804</v>
      </c>
      <c r="D45" s="1224">
        <f t="shared" ref="D45:L45" si="8">D43+D44</f>
        <v>177848636</v>
      </c>
      <c r="E45" s="1224">
        <f t="shared" si="8"/>
        <v>226099626</v>
      </c>
      <c r="F45" s="1224">
        <f t="shared" si="8"/>
        <v>11833000</v>
      </c>
      <c r="G45" s="1224">
        <f t="shared" si="8"/>
        <v>149746709</v>
      </c>
      <c r="H45" s="1224">
        <f t="shared" si="8"/>
        <v>148180709</v>
      </c>
      <c r="I45" s="1224">
        <f t="shared" si="8"/>
        <v>148180709</v>
      </c>
      <c r="J45" s="1224">
        <f t="shared" si="8"/>
        <v>1175000</v>
      </c>
      <c r="K45" s="1224">
        <f t="shared" si="8"/>
        <v>88888000</v>
      </c>
      <c r="L45" s="1224">
        <f t="shared" si="8"/>
        <v>-51799000</v>
      </c>
    </row>
    <row r="46" spans="1:16" ht="11.25" customHeight="1" x14ac:dyDescent="0.25">
      <c r="A46" s="1264" t="s">
        <v>343</v>
      </c>
      <c r="B46" s="704"/>
      <c r="C46" s="1224">
        <f>C22+C30+C31</f>
        <v>312266521</v>
      </c>
      <c r="D46" s="1224">
        <f t="shared" ref="D46:L46" si="9">D22+D30+D31</f>
        <v>-22045684</v>
      </c>
      <c r="E46" s="1224">
        <f t="shared" si="9"/>
        <v>113375715</v>
      </c>
      <c r="F46" s="1224">
        <f t="shared" si="9"/>
        <v>2082000</v>
      </c>
      <c r="G46" s="1224">
        <f t="shared" si="9"/>
        <v>-14000</v>
      </c>
      <c r="H46" s="1224">
        <f t="shared" si="9"/>
        <v>2082000</v>
      </c>
      <c r="I46" s="1224">
        <f t="shared" si="9"/>
        <v>2082000</v>
      </c>
      <c r="J46" s="1224">
        <f t="shared" si="9"/>
        <v>3719000</v>
      </c>
      <c r="K46" s="1224">
        <f t="shared" si="9"/>
        <v>3619000</v>
      </c>
      <c r="L46" s="1224">
        <f t="shared" si="9"/>
        <v>-37520000</v>
      </c>
    </row>
    <row r="47" spans="1:16" ht="11.25" customHeight="1" x14ac:dyDescent="0.25">
      <c r="A47" s="1264" t="str">
        <f>A33</f>
        <v>Repayment of borrowing</v>
      </c>
      <c r="B47" s="704"/>
      <c r="C47" s="1224">
        <f>C33</f>
        <v>0</v>
      </c>
      <c r="D47" s="1224">
        <f t="shared" ref="D47:L47" si="10">D33</f>
        <v>0</v>
      </c>
      <c r="E47" s="1224">
        <f t="shared" si="10"/>
        <v>-49779370</v>
      </c>
      <c r="F47" s="1224">
        <f t="shared" si="10"/>
        <v>19729000</v>
      </c>
      <c r="G47" s="1224">
        <f t="shared" si="10"/>
        <v>19729000</v>
      </c>
      <c r="H47" s="1224">
        <f t="shared" si="10"/>
        <v>19729000</v>
      </c>
      <c r="I47" s="1224">
        <f>I33</f>
        <v>19729000</v>
      </c>
      <c r="J47" s="1224">
        <f t="shared" si="10"/>
        <v>38030000</v>
      </c>
      <c r="K47" s="1224">
        <f t="shared" si="10"/>
        <v>37022000</v>
      </c>
      <c r="L47" s="1224">
        <f t="shared" si="10"/>
        <v>270665000</v>
      </c>
    </row>
    <row r="48" spans="1:16" ht="11.25" customHeight="1" x14ac:dyDescent="0.25">
      <c r="A48" s="707"/>
      <c r="B48" s="704"/>
      <c r="C48" s="1224">
        <f>C45+C46+C47</f>
        <v>197831717</v>
      </c>
      <c r="D48" s="1224">
        <f t="shared" ref="D48:L48" si="11">D45+D46+D47</f>
        <v>155802952</v>
      </c>
      <c r="E48" s="1224">
        <f t="shared" si="11"/>
        <v>289695971</v>
      </c>
      <c r="F48" s="1224">
        <f t="shared" si="11"/>
        <v>33644000</v>
      </c>
      <c r="G48" s="1224">
        <f t="shared" si="11"/>
        <v>169461709</v>
      </c>
      <c r="H48" s="1224">
        <f t="shared" si="11"/>
        <v>169991709</v>
      </c>
      <c r="I48" s="1224">
        <f t="shared" si="11"/>
        <v>169991709</v>
      </c>
      <c r="J48" s="1224">
        <f t="shared" si="11"/>
        <v>42924000</v>
      </c>
      <c r="K48" s="1224">
        <f t="shared" si="11"/>
        <v>129529000</v>
      </c>
      <c r="L48" s="1224">
        <f t="shared" si="11"/>
        <v>181346000</v>
      </c>
    </row>
    <row r="49" spans="1:12" ht="11.25" customHeight="1" x14ac:dyDescent="0.25">
      <c r="A49" s="707"/>
      <c r="B49" s="704"/>
      <c r="C49" s="1268">
        <f t="shared" ref="C49:L49" si="12">C36-C48</f>
        <v>-50000000</v>
      </c>
      <c r="D49" s="1268">
        <f t="shared" si="12"/>
        <v>0</v>
      </c>
      <c r="E49" s="1268">
        <f t="shared" si="12"/>
        <v>0</v>
      </c>
      <c r="F49" s="1268">
        <f t="shared" si="12"/>
        <v>0</v>
      </c>
      <c r="G49" s="1268">
        <f t="shared" si="12"/>
        <v>0</v>
      </c>
      <c r="H49" s="1268">
        <f t="shared" si="12"/>
        <v>0</v>
      </c>
      <c r="I49" s="1268">
        <f t="shared" si="12"/>
        <v>0</v>
      </c>
      <c r="J49" s="1268">
        <f t="shared" si="12"/>
        <v>0</v>
      </c>
      <c r="K49" s="1268">
        <f t="shared" si="12"/>
        <v>0</v>
      </c>
      <c r="L49" s="1268">
        <f t="shared" si="12"/>
        <v>0</v>
      </c>
    </row>
    <row r="50" spans="1:12" ht="11.25" customHeight="1" x14ac:dyDescent="0.25"/>
    <row r="51" spans="1:12" ht="11.25" customHeight="1" x14ac:dyDescent="0.25"/>
    <row r="52" spans="1:12" ht="11.25" customHeight="1" x14ac:dyDescent="0.25"/>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sheetProtection password="C646"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enableFormatConditionsCalculation="0">
    <tabColor indexed="44"/>
    <pageSetUpPr fitToPage="1"/>
  </sheetPr>
  <dimension ref="A1:N98"/>
  <sheetViews>
    <sheetView showGridLines="0" zoomScaleNormal="100" workbookViewId="0">
      <pane xSplit="2" ySplit="3" topLeftCell="C49" activePane="bottomRight" state="frozen"/>
      <selection pane="topRight"/>
      <selection pane="bottomLeft"/>
      <selection pane="bottomRight" activeCell="K35" sqref="K35"/>
    </sheetView>
  </sheetViews>
  <sheetFormatPr defaultColWidth="9.1796875" defaultRowHeight="10.5" x14ac:dyDescent="0.25"/>
  <cols>
    <col min="1" max="1" width="30.7265625" style="149" customWidth="1"/>
    <col min="2" max="2" width="3" style="247" customWidth="1"/>
    <col min="3" max="8" width="9.26953125" style="149" customWidth="1"/>
    <col min="9" max="9" width="9.1796875" style="149" customWidth="1"/>
    <col min="10" max="12" width="9.26953125" style="149" customWidth="1"/>
    <col min="13" max="13" width="9.81640625" style="149" customWidth="1"/>
    <col min="14" max="14" width="9.54296875" style="149" customWidth="1"/>
    <col min="15" max="15" width="9.81640625" style="149" customWidth="1"/>
    <col min="16" max="18" width="9.54296875" style="149" customWidth="1"/>
    <col min="19" max="19" width="9.81640625" style="149" customWidth="1"/>
    <col min="20" max="22" width="9.54296875" style="149" customWidth="1"/>
    <col min="23" max="24" width="9.81640625" style="149" customWidth="1"/>
    <col min="25" max="16384" width="9.1796875" style="149"/>
  </cols>
  <sheetData>
    <row r="1" spans="1:12" s="179" customFormat="1" ht="13" x14ac:dyDescent="0.3">
      <c r="A1" s="147" t="str">
        <f>muni&amp;" - "&amp;Approve8</f>
        <v>KZN225 Msunduzi - Table A8 Consolidated Cash backed reserves/accumulated surplus reconciliation</v>
      </c>
      <c r="B1" s="147"/>
      <c r="C1" s="147"/>
      <c r="D1" s="147"/>
      <c r="E1" s="147"/>
      <c r="F1" s="147"/>
      <c r="G1" s="147"/>
      <c r="H1" s="147"/>
      <c r="I1" s="147"/>
      <c r="J1" s="147"/>
      <c r="K1" s="147"/>
      <c r="L1" s="147"/>
    </row>
    <row r="2" spans="1:12" ht="28.5" customHeight="1" x14ac:dyDescent="0.25">
      <c r="A2" s="975" t="str">
        <f>desc</f>
        <v>Description</v>
      </c>
      <c r="B2" s="419" t="str">
        <f>head27</f>
        <v>Ref</v>
      </c>
      <c r="C2" s="150" t="str">
        <f>head1b</f>
        <v>2009/10</v>
      </c>
      <c r="D2" s="150" t="str">
        <f>head1A</f>
        <v>2010/11</v>
      </c>
      <c r="E2" s="146" t="str">
        <f>Head1</f>
        <v>2011/12</v>
      </c>
      <c r="F2" s="2677" t="str">
        <f>Head2</f>
        <v>Current Year 2012/13</v>
      </c>
      <c r="G2" s="2678"/>
      <c r="H2" s="2678"/>
      <c r="I2" s="2678"/>
      <c r="J2" s="2674" t="str">
        <f>Head3</f>
        <v>2013/14 Medium Term Revenue &amp; Expenditure Framework</v>
      </c>
      <c r="K2" s="2675"/>
      <c r="L2" s="2676"/>
    </row>
    <row r="3" spans="1:12" ht="21" x14ac:dyDescent="0.25">
      <c r="A3" s="180" t="s">
        <v>665</v>
      </c>
      <c r="B3" s="990"/>
      <c r="C3" s="390" t="str">
        <f>Head5</f>
        <v>Audited Outcome</v>
      </c>
      <c r="D3" s="390" t="str">
        <f>Head5</f>
        <v>Audited Outcome</v>
      </c>
      <c r="E3" s="391" t="str">
        <f>Head5</f>
        <v>Audited Outcome</v>
      </c>
      <c r="F3" s="299" t="str">
        <f>Head6</f>
        <v>Original Budget</v>
      </c>
      <c r="G3" s="390" t="str">
        <f>Head7</f>
        <v>Adjusted Budget</v>
      </c>
      <c r="H3" s="391" t="str">
        <f>Head8</f>
        <v>Full Year Forecast</v>
      </c>
      <c r="I3" s="389" t="str">
        <f>Head5b</f>
        <v>Pre-audit outcome</v>
      </c>
      <c r="J3" s="299" t="str">
        <f>Head9</f>
        <v>Budget Year 2013/14</v>
      </c>
      <c r="K3" s="390" t="str">
        <f>Head10</f>
        <v>Budget Year +1 2014/15</v>
      </c>
      <c r="L3" s="391" t="str">
        <f>Head11</f>
        <v>Budget Year +2 2015/16</v>
      </c>
    </row>
    <row r="4" spans="1:12" x14ac:dyDescent="0.25">
      <c r="A4" s="249" t="s">
        <v>1210</v>
      </c>
      <c r="B4" s="350"/>
      <c r="C4" s="207"/>
      <c r="D4" s="207"/>
      <c r="E4" s="264"/>
      <c r="F4" s="251"/>
      <c r="G4" s="207"/>
      <c r="H4" s="264"/>
      <c r="I4" s="210"/>
      <c r="J4" s="351"/>
      <c r="K4" s="207"/>
      <c r="L4" s="264"/>
    </row>
    <row r="5" spans="1:12" ht="11.25" customHeight="1" x14ac:dyDescent="0.25">
      <c r="A5" s="250" t="str">
        <f>LEFT('A7-CFlow'!A38,37)</f>
        <v>Cash/cash equivalents at the year end</v>
      </c>
      <c r="B5" s="350">
        <v>1</v>
      </c>
      <c r="C5" s="207">
        <f>'A7-CFlow'!C38</f>
        <v>465435541</v>
      </c>
      <c r="D5" s="207">
        <f>'A7-CFlow'!D38</f>
        <v>621238493</v>
      </c>
      <c r="E5" s="264">
        <f>'A7-CFlow'!E38</f>
        <v>910934464</v>
      </c>
      <c r="F5" s="251">
        <f>'A7-CFlow'!F38</f>
        <v>511892000</v>
      </c>
      <c r="G5" s="207">
        <f>'A7-CFlow'!G38</f>
        <v>647709709</v>
      </c>
      <c r="H5" s="264">
        <f>'A7-CFlow'!H38</f>
        <v>648239709</v>
      </c>
      <c r="I5" s="210">
        <f>'A7-CFlow'!I38</f>
        <v>648239709</v>
      </c>
      <c r="J5" s="211">
        <f>'A7-CFlow'!J38</f>
        <v>691164000</v>
      </c>
      <c r="K5" s="207">
        <f>'A7-CFlow'!K38</f>
        <v>820693000</v>
      </c>
      <c r="L5" s="264">
        <f>'A7-CFlow'!L38</f>
        <v>1002039000</v>
      </c>
    </row>
    <row r="6" spans="1:12" ht="11.25" customHeight="1" x14ac:dyDescent="0.25">
      <c r="A6" s="190" t="s">
        <v>1554</v>
      </c>
      <c r="B6" s="350"/>
      <c r="C6" s="207">
        <f>'A6-FinPos'!C6+'A6-FinPos'!C7-'A6-FinPos'!C29-'A8-ResRecon'!C5</f>
        <v>-326624881</v>
      </c>
      <c r="D6" s="207">
        <f>'A6-FinPos'!D6+'A6-FinPos'!D7-'A6-FinPos'!D29-'A8-ResRecon'!D5</f>
        <v>-200023415</v>
      </c>
      <c r="E6" s="264">
        <f>'A6-FinPos'!E6+'A6-FinPos'!E7-'A6-FinPos'!E29-'A8-ResRecon'!E5</f>
        <v>-326078464</v>
      </c>
      <c r="F6" s="251">
        <f>'A6-FinPos'!F6+'A6-FinPos'!F7-'A6-FinPos'!F29-'A8-ResRecon'!F5</f>
        <v>61416280</v>
      </c>
      <c r="G6" s="207">
        <f>'A6-FinPos'!G6+'A6-FinPos'!G7-'A6-FinPos'!G29-'A8-ResRecon'!G5</f>
        <v>61946280</v>
      </c>
      <c r="H6" s="264">
        <f>'A6-FinPos'!H6+'A6-FinPos'!H7-'A6-FinPos'!H29-'A8-ResRecon'!H5</f>
        <v>61416280</v>
      </c>
      <c r="I6" s="210">
        <f>'A6-FinPos'!I6+'A6-FinPos'!I7-'A6-FinPos'!I29-'A8-ResRecon'!I5</f>
        <v>61416280</v>
      </c>
      <c r="J6" s="211">
        <f>'A6-FinPos'!J6+'A6-FinPos'!J7-'A6-FinPos'!J29-'A8-ResRecon'!J5</f>
        <v>-87470381.159999967</v>
      </c>
      <c r="K6" s="207">
        <f>'A6-FinPos'!K6+'A6-FinPos'!K7-'A6-FinPos'!K29-'A8-ResRecon'!K5</f>
        <v>-187418393.83684015</v>
      </c>
      <c r="L6" s="264">
        <f>'A6-FinPos'!L6+'A6-FinPos'!L7-'A6-FinPos'!L29-'A8-ResRecon'!L5</f>
        <v>654507000</v>
      </c>
    </row>
    <row r="7" spans="1:12" ht="11.25" customHeight="1" x14ac:dyDescent="0.25">
      <c r="A7" s="250" t="str">
        <f>'A6-FinPos'!A14&amp;" - "&amp;'A6-FinPos'!A16</f>
        <v>Non current assets - Investments</v>
      </c>
      <c r="B7" s="350">
        <v>1</v>
      </c>
      <c r="C7" s="207">
        <f>'A6-FinPos'!C16</f>
        <v>0</v>
      </c>
      <c r="D7" s="207">
        <f>'A6-FinPos'!D16</f>
        <v>0</v>
      </c>
      <c r="E7" s="264">
        <f>'A6-FinPos'!E16</f>
        <v>0</v>
      </c>
      <c r="F7" s="258">
        <f>'A6-FinPos'!F16</f>
        <v>65703</v>
      </c>
      <c r="G7" s="256">
        <f>'A6-FinPos'!G16</f>
        <v>65703</v>
      </c>
      <c r="H7" s="262">
        <f>'A6-FinPos'!H16</f>
        <v>65703</v>
      </c>
      <c r="I7" s="210">
        <f>'A6-FinPos'!I16</f>
        <v>65703</v>
      </c>
      <c r="J7" s="263">
        <f>'A6-FinPos'!J16</f>
        <v>69185.258999999991</v>
      </c>
      <c r="K7" s="256">
        <f>'A6-FinPos'!K16</f>
        <v>72575.33669099999</v>
      </c>
      <c r="L7" s="262">
        <f>'A6-FinPos'!L16</f>
        <v>0</v>
      </c>
    </row>
    <row r="8" spans="1:12" ht="11.25" customHeight="1" x14ac:dyDescent="0.25">
      <c r="A8" s="797" t="s">
        <v>1211</v>
      </c>
      <c r="B8" s="812"/>
      <c r="C8" s="813">
        <f>SUM(C5:C7)</f>
        <v>138810660</v>
      </c>
      <c r="D8" s="813">
        <f t="shared" ref="D8:L8" si="0">SUM(D5:D7)</f>
        <v>421215078</v>
      </c>
      <c r="E8" s="814">
        <f t="shared" si="0"/>
        <v>584856000</v>
      </c>
      <c r="F8" s="815">
        <f t="shared" si="0"/>
        <v>573373983</v>
      </c>
      <c r="G8" s="813">
        <f t="shared" si="0"/>
        <v>709721692</v>
      </c>
      <c r="H8" s="814">
        <f t="shared" si="0"/>
        <v>709721692</v>
      </c>
      <c r="I8" s="816">
        <f t="shared" si="0"/>
        <v>709721692</v>
      </c>
      <c r="J8" s="1107">
        <f t="shared" si="0"/>
        <v>603762804.09899998</v>
      </c>
      <c r="K8" s="813">
        <f t="shared" si="0"/>
        <v>633347181.49985087</v>
      </c>
      <c r="L8" s="814">
        <f t="shared" si="0"/>
        <v>1656546000</v>
      </c>
    </row>
    <row r="9" spans="1:12" ht="5.15" customHeight="1" x14ac:dyDescent="0.25">
      <c r="A9" s="273"/>
      <c r="B9" s="350"/>
      <c r="C9" s="207"/>
      <c r="D9" s="207"/>
      <c r="E9" s="264"/>
      <c r="F9" s="251"/>
      <c r="G9" s="207"/>
      <c r="H9" s="264"/>
      <c r="I9" s="210"/>
      <c r="J9" s="211"/>
      <c r="K9" s="207"/>
      <c r="L9" s="264"/>
    </row>
    <row r="10" spans="1:12" ht="11.25" customHeight="1" x14ac:dyDescent="0.25">
      <c r="A10" s="249" t="s">
        <v>1125</v>
      </c>
      <c r="B10" s="350"/>
      <c r="C10" s="207"/>
      <c r="D10" s="207"/>
      <c r="E10" s="264"/>
      <c r="F10" s="251"/>
      <c r="G10" s="207"/>
      <c r="H10" s="264"/>
      <c r="I10" s="210"/>
      <c r="J10" s="211"/>
      <c r="K10" s="207"/>
      <c r="L10" s="264"/>
    </row>
    <row r="11" spans="1:12" ht="11.25" customHeight="1" x14ac:dyDescent="0.25">
      <c r="A11" s="250" t="str">
        <f>'SA3'!A36</f>
        <v>Unspent conditional transfers</v>
      </c>
      <c r="B11" s="350"/>
      <c r="C11" s="256">
        <f>'SA3'!C36</f>
        <v>140882033</v>
      </c>
      <c r="D11" s="207">
        <f>'SA3'!D36</f>
        <v>121163591</v>
      </c>
      <c r="E11" s="264">
        <f>'SA3'!E36</f>
        <v>149447649</v>
      </c>
      <c r="F11" s="251">
        <f>'SA3'!F36</f>
        <v>0</v>
      </c>
      <c r="G11" s="207">
        <f>'SA3'!G36</f>
        <v>0</v>
      </c>
      <c r="H11" s="264">
        <f>'SA3'!H36</f>
        <v>0</v>
      </c>
      <c r="I11" s="210">
        <f>'SA3'!I36</f>
        <v>0</v>
      </c>
      <c r="J11" s="211">
        <f>'SA3'!J36</f>
        <v>0</v>
      </c>
      <c r="K11" s="207">
        <f>'SA3'!K36</f>
        <v>0</v>
      </c>
      <c r="L11" s="264">
        <f>'SA3'!L36</f>
        <v>0</v>
      </c>
    </row>
    <row r="12" spans="1:12" ht="11.25" customHeight="1" x14ac:dyDescent="0.25">
      <c r="A12" s="250" t="s">
        <v>156</v>
      </c>
      <c r="B12" s="350"/>
      <c r="C12" s="1465">
        <f>'SA17'!C67</f>
        <v>570128738</v>
      </c>
      <c r="D12" s="1465">
        <f>'SA17'!D67</f>
        <v>518941953</v>
      </c>
      <c r="E12" s="1466">
        <f>'SA17'!E67</f>
        <v>44526158.25</v>
      </c>
      <c r="F12" s="1467">
        <f>'SA17'!F67</f>
        <v>647309128</v>
      </c>
      <c r="G12" s="1465">
        <f>'SA17'!G67</f>
        <v>0</v>
      </c>
      <c r="H12" s="1466">
        <f>'SA17'!H67</f>
        <v>647309128</v>
      </c>
      <c r="I12" s="2317"/>
      <c r="J12" s="1469">
        <f>'SA17'!I67</f>
        <v>573000000</v>
      </c>
      <c r="K12" s="1465">
        <f>'SA17'!J67</f>
        <v>503000000</v>
      </c>
      <c r="L12" s="1466">
        <f>'SA17'!K67</f>
        <v>430000000</v>
      </c>
    </row>
    <row r="13" spans="1:12" ht="11.25" customHeight="1" x14ac:dyDescent="0.25">
      <c r="A13" s="250" t="s">
        <v>1126</v>
      </c>
      <c r="B13" s="350">
        <v>2</v>
      </c>
      <c r="C13" s="1637"/>
      <c r="D13" s="1637"/>
      <c r="E13" s="1638"/>
      <c r="F13" s="1639"/>
      <c r="G13" s="1637"/>
      <c r="H13" s="1638"/>
      <c r="I13" s="1640"/>
      <c r="J13" s="1641"/>
      <c r="K13" s="1637"/>
      <c r="L13" s="1638"/>
    </row>
    <row r="14" spans="1:12" ht="11.25" customHeight="1" x14ac:dyDescent="0.25">
      <c r="A14" s="250" t="s">
        <v>394</v>
      </c>
      <c r="B14" s="350">
        <v>3</v>
      </c>
      <c r="C14" s="207">
        <f>-C32</f>
        <v>149548162</v>
      </c>
      <c r="D14" s="207">
        <f t="shared" ref="D14:L14" si="1">-D32</f>
        <v>137305268</v>
      </c>
      <c r="E14" s="264">
        <f t="shared" si="1"/>
        <v>-198144710</v>
      </c>
      <c r="F14" s="251">
        <f>-F32</f>
        <v>-497968553</v>
      </c>
      <c r="G14" s="207">
        <f t="shared" si="1"/>
        <v>-655170553</v>
      </c>
      <c r="H14" s="264">
        <f t="shared" si="1"/>
        <v>-655170553</v>
      </c>
      <c r="I14" s="210">
        <f t="shared" si="1"/>
        <v>-655171553</v>
      </c>
      <c r="J14" s="211">
        <f t="shared" si="1"/>
        <v>-880468100</v>
      </c>
      <c r="K14" s="207">
        <f t="shared" si="1"/>
        <v>-679186926</v>
      </c>
      <c r="L14" s="264">
        <f t="shared" si="1"/>
        <v>-544235781</v>
      </c>
    </row>
    <row r="15" spans="1:12" ht="11.25" customHeight="1" x14ac:dyDescent="0.25">
      <c r="A15" s="250" t="s">
        <v>584</v>
      </c>
      <c r="B15" s="350"/>
      <c r="C15" s="1637"/>
      <c r="D15" s="1637"/>
      <c r="E15" s="1638"/>
      <c r="F15" s="1639"/>
      <c r="G15" s="1637"/>
      <c r="H15" s="1638"/>
      <c r="I15" s="1640"/>
      <c r="J15" s="1641"/>
      <c r="K15" s="1637"/>
      <c r="L15" s="1638"/>
    </row>
    <row r="16" spans="1:12" ht="11.25" customHeight="1" x14ac:dyDescent="0.25">
      <c r="A16" s="250" t="s">
        <v>395</v>
      </c>
      <c r="B16" s="350">
        <v>4</v>
      </c>
      <c r="C16" s="207">
        <f>C52</f>
        <v>0</v>
      </c>
      <c r="D16" s="207">
        <f t="shared" ref="D16:L16" si="2">D52</f>
        <v>0</v>
      </c>
      <c r="E16" s="264">
        <f t="shared" si="2"/>
        <v>0</v>
      </c>
      <c r="F16" s="258">
        <f t="shared" si="2"/>
        <v>0</v>
      </c>
      <c r="G16" s="256">
        <f t="shared" si="2"/>
        <v>0</v>
      </c>
      <c r="H16" s="262">
        <f t="shared" si="2"/>
        <v>0</v>
      </c>
      <c r="I16" s="261">
        <f t="shared" si="2"/>
        <v>0</v>
      </c>
      <c r="J16" s="263">
        <f t="shared" si="2"/>
        <v>0</v>
      </c>
      <c r="K16" s="256">
        <f t="shared" si="2"/>
        <v>0</v>
      </c>
      <c r="L16" s="262">
        <f t="shared" si="2"/>
        <v>0</v>
      </c>
    </row>
    <row r="17" spans="1:14" ht="11.25" customHeight="1" x14ac:dyDescent="0.25">
      <c r="A17" s="250" t="s">
        <v>1212</v>
      </c>
      <c r="B17" s="350">
        <v>5</v>
      </c>
      <c r="C17" s="1614"/>
      <c r="D17" s="1614"/>
      <c r="E17" s="1634"/>
      <c r="F17" s="1635"/>
      <c r="G17" s="1614"/>
      <c r="H17" s="1634"/>
      <c r="I17" s="1636"/>
      <c r="J17" s="1616"/>
      <c r="K17" s="1614"/>
      <c r="L17" s="1634"/>
    </row>
    <row r="18" spans="1:14" ht="11.25" customHeight="1" x14ac:dyDescent="0.25">
      <c r="A18" s="797" t="str">
        <f>"Total "&amp;A10&amp;":"</f>
        <v>Total Application of cash and investments:</v>
      </c>
      <c r="B18" s="812"/>
      <c r="C18" s="813">
        <f>SUM(C11:C17)</f>
        <v>860558933</v>
      </c>
      <c r="D18" s="813">
        <f t="shared" ref="D18:L18" si="3">SUM(D11:D17)</f>
        <v>777410812</v>
      </c>
      <c r="E18" s="814">
        <f t="shared" si="3"/>
        <v>-4170902.75</v>
      </c>
      <c r="F18" s="815">
        <f t="shared" si="3"/>
        <v>149340575</v>
      </c>
      <c r="G18" s="813">
        <f t="shared" si="3"/>
        <v>-655170553</v>
      </c>
      <c r="H18" s="814">
        <f t="shared" si="3"/>
        <v>-7861425</v>
      </c>
      <c r="I18" s="816">
        <f t="shared" si="3"/>
        <v>-655171553</v>
      </c>
      <c r="J18" s="1107">
        <f t="shared" si="3"/>
        <v>-307468100</v>
      </c>
      <c r="K18" s="813">
        <f t="shared" si="3"/>
        <v>-176186926</v>
      </c>
      <c r="L18" s="814">
        <f t="shared" si="3"/>
        <v>-114235781</v>
      </c>
      <c r="N18" s="355"/>
    </row>
    <row r="19" spans="1:14" ht="11.25" customHeight="1" x14ac:dyDescent="0.25">
      <c r="A19" s="397" t="s">
        <v>291</v>
      </c>
      <c r="B19" s="398"/>
      <c r="C19" s="348">
        <f>C8-C18</f>
        <v>-721748273</v>
      </c>
      <c r="D19" s="348">
        <f t="shared" ref="D19:L19" si="4">D8-D18</f>
        <v>-356195734</v>
      </c>
      <c r="E19" s="1108">
        <f t="shared" si="4"/>
        <v>589026902.75</v>
      </c>
      <c r="F19" s="1109">
        <f t="shared" si="4"/>
        <v>424033408</v>
      </c>
      <c r="G19" s="348">
        <f t="shared" si="4"/>
        <v>1364892245</v>
      </c>
      <c r="H19" s="1108">
        <f t="shared" si="4"/>
        <v>717583117</v>
      </c>
      <c r="I19" s="1024">
        <f t="shared" si="4"/>
        <v>1364893245</v>
      </c>
      <c r="J19" s="349">
        <f t="shared" si="4"/>
        <v>911230904.09899998</v>
      </c>
      <c r="K19" s="348">
        <f t="shared" si="4"/>
        <v>809534107.49985087</v>
      </c>
      <c r="L19" s="1108">
        <f t="shared" si="4"/>
        <v>1770781781</v>
      </c>
      <c r="N19" s="355"/>
    </row>
    <row r="20" spans="1:14" ht="11.25" customHeight="1" x14ac:dyDescent="0.25">
      <c r="A20" s="356" t="str">
        <f>head27a</f>
        <v>References</v>
      </c>
      <c r="B20" s="149"/>
      <c r="C20" s="310"/>
      <c r="D20" s="310"/>
      <c r="E20" s="310"/>
      <c r="F20" s="310"/>
      <c r="G20" s="310"/>
      <c r="H20" s="310"/>
      <c r="I20" s="310"/>
      <c r="J20" s="310"/>
      <c r="K20" s="310"/>
      <c r="L20" s="310"/>
    </row>
    <row r="21" spans="1:14" ht="11.25" customHeight="1" x14ac:dyDescent="0.25">
      <c r="A21" s="357" t="s">
        <v>1476</v>
      </c>
      <c r="B21" s="149"/>
    </row>
    <row r="22" spans="1:14" ht="11.25" customHeight="1" x14ac:dyDescent="0.25">
      <c r="A22" s="357" t="s">
        <v>1127</v>
      </c>
      <c r="B22" s="149"/>
    </row>
    <row r="23" spans="1:14" ht="11.25" customHeight="1" x14ac:dyDescent="0.25">
      <c r="A23" s="357" t="s">
        <v>297</v>
      </c>
      <c r="B23" s="149"/>
    </row>
    <row r="24" spans="1:14" ht="11.25" customHeight="1" x14ac:dyDescent="0.25">
      <c r="A24" s="357" t="s">
        <v>300</v>
      </c>
      <c r="B24" s="149"/>
    </row>
    <row r="25" spans="1:14" ht="11.25" customHeight="1" x14ac:dyDescent="0.25">
      <c r="A25" s="357" t="s">
        <v>299</v>
      </c>
      <c r="B25" s="149"/>
    </row>
    <row r="26" spans="1:14" ht="6" customHeight="1" x14ac:dyDescent="0.25">
      <c r="B26" s="149"/>
    </row>
    <row r="27" spans="1:14" ht="11.25" customHeight="1" x14ac:dyDescent="0.25">
      <c r="A27" s="358"/>
      <c r="B27" s="149"/>
      <c r="C27" s="396"/>
      <c r="D27" s="396"/>
      <c r="E27" s="396"/>
      <c r="F27" s="396"/>
      <c r="G27" s="396"/>
      <c r="H27" s="396"/>
      <c r="I27" s="396"/>
      <c r="J27" s="396"/>
      <c r="K27" s="396"/>
      <c r="L27" s="396"/>
    </row>
    <row r="28" spans="1:14" ht="11.25" customHeight="1" x14ac:dyDescent="0.25">
      <c r="A28" s="359" t="s">
        <v>394</v>
      </c>
      <c r="B28" s="149"/>
      <c r="C28" s="396"/>
      <c r="D28" s="396"/>
      <c r="E28" s="396"/>
      <c r="F28" s="396"/>
      <c r="G28" s="396"/>
      <c r="H28" s="396"/>
      <c r="I28" s="396"/>
      <c r="J28" s="396"/>
      <c r="K28" s="396"/>
      <c r="L28" s="396"/>
    </row>
    <row r="29" spans="1:14" ht="11.25" customHeight="1" x14ac:dyDescent="0.25">
      <c r="A29" s="360" t="s">
        <v>2235</v>
      </c>
      <c r="B29" s="149"/>
      <c r="C29" s="1066">
        <f>IF(ISERROR(ROUND(C35*C36,-3)),0,(ROUND(C35*C36,-3)))</f>
        <v>220933000</v>
      </c>
      <c r="D29" s="1066">
        <f t="shared" ref="D29:L29" si="5">IF(ISERROR(ROUND(D35*D36,-3)),0,(ROUND(D35*D36,-3)))</f>
        <v>227326000</v>
      </c>
      <c r="E29" s="1066">
        <f t="shared" si="5"/>
        <v>650326000</v>
      </c>
      <c r="F29" s="1066">
        <f t="shared" si="5"/>
        <v>681435000</v>
      </c>
      <c r="G29" s="1066">
        <f t="shared" si="5"/>
        <v>838637000</v>
      </c>
      <c r="H29" s="1066">
        <f t="shared" si="5"/>
        <v>838637000</v>
      </c>
      <c r="I29" s="1066">
        <f t="shared" si="5"/>
        <v>838638000</v>
      </c>
      <c r="J29" s="1066">
        <f t="shared" si="5"/>
        <v>1089071000</v>
      </c>
      <c r="K29" s="1066">
        <f t="shared" si="5"/>
        <v>900306000</v>
      </c>
      <c r="L29" s="1066">
        <f t="shared" si="5"/>
        <v>778622000</v>
      </c>
    </row>
    <row r="30" spans="1:14" s="370" customFormat="1" ht="3" customHeight="1" x14ac:dyDescent="0.25">
      <c r="A30" s="360"/>
      <c r="C30" s="1066"/>
      <c r="D30" s="1066"/>
      <c r="E30" s="1066"/>
      <c r="F30" s="1066"/>
      <c r="G30" s="1066"/>
      <c r="H30" s="1066"/>
      <c r="I30" s="1066"/>
      <c r="J30" s="1066"/>
      <c r="K30" s="1066"/>
      <c r="L30" s="1066"/>
    </row>
    <row r="31" spans="1:14" ht="11.25" customHeight="1" x14ac:dyDescent="0.25">
      <c r="A31" s="360" t="s">
        <v>2230</v>
      </c>
      <c r="B31" s="149"/>
      <c r="C31" s="1066">
        <f>'SA3'!C35</f>
        <v>370481162</v>
      </c>
      <c r="D31" s="1066">
        <f>'SA3'!D35</f>
        <v>364631268</v>
      </c>
      <c r="E31" s="1066">
        <f>'SA3'!E35</f>
        <v>452181290</v>
      </c>
      <c r="F31" s="1066">
        <f>'SA3'!F35</f>
        <v>183466447</v>
      </c>
      <c r="G31" s="1066">
        <f>'SA3'!G35</f>
        <v>183466447</v>
      </c>
      <c r="H31" s="1066">
        <f>'SA3'!H35</f>
        <v>183466447</v>
      </c>
      <c r="I31" s="1066">
        <f>'SA3'!I35</f>
        <v>183466447</v>
      </c>
      <c r="J31" s="1066">
        <f>'SA3'!J35</f>
        <v>208602900</v>
      </c>
      <c r="K31" s="1066">
        <f>'SA3'!K35</f>
        <v>221119074</v>
      </c>
      <c r="L31" s="1066">
        <f>'SA3'!L35</f>
        <v>234386219</v>
      </c>
    </row>
    <row r="32" spans="1:14" ht="11.25" customHeight="1" x14ac:dyDescent="0.25">
      <c r="A32" s="360" t="s">
        <v>774</v>
      </c>
      <c r="B32" s="149"/>
      <c r="C32" s="2476">
        <f>C29-C31</f>
        <v>-149548162</v>
      </c>
      <c r="D32" s="2476">
        <f t="shared" ref="D32:L32" si="6">D29-D31</f>
        <v>-137305268</v>
      </c>
      <c r="E32" s="2476">
        <f t="shared" si="6"/>
        <v>198144710</v>
      </c>
      <c r="F32" s="2476">
        <f t="shared" si="6"/>
        <v>497968553</v>
      </c>
      <c r="G32" s="2476">
        <f t="shared" si="6"/>
        <v>655170553</v>
      </c>
      <c r="H32" s="2476">
        <f t="shared" si="6"/>
        <v>655170553</v>
      </c>
      <c r="I32" s="2476">
        <f t="shared" si="6"/>
        <v>655171553</v>
      </c>
      <c r="J32" s="2476">
        <f t="shared" si="6"/>
        <v>880468100</v>
      </c>
      <c r="K32" s="2476">
        <f t="shared" si="6"/>
        <v>679186926</v>
      </c>
      <c r="L32" s="2476">
        <f t="shared" si="6"/>
        <v>544235781</v>
      </c>
    </row>
    <row r="33" spans="1:12" ht="6" customHeight="1" x14ac:dyDescent="0.25">
      <c r="B33" s="149"/>
      <c r="C33" s="210"/>
      <c r="D33" s="210"/>
      <c r="E33" s="210"/>
      <c r="F33" s="210"/>
      <c r="G33" s="210"/>
      <c r="H33" s="210"/>
      <c r="I33" s="210"/>
      <c r="J33" s="210"/>
      <c r="K33" s="210"/>
      <c r="L33" s="210"/>
    </row>
    <row r="34" spans="1:12" ht="11.25" customHeight="1" x14ac:dyDescent="0.25">
      <c r="A34" s="359" t="s">
        <v>2224</v>
      </c>
      <c r="B34" s="149"/>
      <c r="C34" s="2456"/>
      <c r="D34" s="2456"/>
      <c r="E34" s="2456"/>
      <c r="F34" s="2456"/>
      <c r="G34" s="2456"/>
      <c r="H34" s="2456"/>
      <c r="I34" s="2456"/>
      <c r="J34" s="2456"/>
      <c r="K34" s="2456"/>
      <c r="L34" s="2456"/>
    </row>
    <row r="35" spans="1:12" ht="11.25" customHeight="1" x14ac:dyDescent="0.25">
      <c r="A35" s="360" t="s">
        <v>2228</v>
      </c>
      <c r="B35" s="149"/>
      <c r="C35" s="210">
        <f>'A6-FinPos'!C8+'A6-FinPos'!C9+'A6-FinPos'!C15</f>
        <v>248360157</v>
      </c>
      <c r="D35" s="210">
        <f>'A6-FinPos'!D8+'A6-FinPos'!D9+'A6-FinPos'!D15</f>
        <v>241471946</v>
      </c>
      <c r="E35" s="210">
        <f>'A6-FinPos'!E8+'A6-FinPos'!E9+'A6-FinPos'!E15</f>
        <v>560850000</v>
      </c>
      <c r="F35" s="210">
        <f>'A6-FinPos'!F8+'A6-FinPos'!F9+'A6-FinPos'!F15</f>
        <v>753715389.89999998</v>
      </c>
      <c r="G35" s="210">
        <f>'A6-FinPos'!G8+'A6-FinPos'!G9+'A6-FinPos'!G15</f>
        <v>753715389.89999998</v>
      </c>
      <c r="H35" s="210">
        <f>'A6-FinPos'!H8+'A6-FinPos'!H9+'A6-FinPos'!H15</f>
        <v>753715389.89999998</v>
      </c>
      <c r="I35" s="210">
        <f>'A6-FinPos'!I8+'A6-FinPos'!I9+'A6-FinPos'!I15</f>
        <v>753715389.89999998</v>
      </c>
      <c r="J35" s="210">
        <f>'A6-FinPos'!J8+'A6-FinPos'!J9+'A6-FinPos'!J15</f>
        <v>1018425270.976</v>
      </c>
      <c r="K35" s="210">
        <f>'A6-FinPos'!K8+'A6-FinPos'!K9+'A6-FinPos'!K15</f>
        <v>952953960.25511384</v>
      </c>
      <c r="L35" s="210">
        <f>'A6-FinPos'!L8+'A6-FinPos'!L9+'A6-FinPos'!L15</f>
        <v>841736000</v>
      </c>
    </row>
    <row r="36" spans="1:12" ht="11.25" customHeight="1" x14ac:dyDescent="0.25">
      <c r="A36" s="360" t="s">
        <v>2229</v>
      </c>
      <c r="B36" s="149"/>
      <c r="C36" s="2457">
        <f>IF(ISERROR('SA10'!D10),0,('SA10'!D10))</f>
        <v>0.88956500130891203</v>
      </c>
      <c r="D36" s="2457">
        <f>IF(ISERROR('SA10'!E10),0,('SA10'!E10))</f>
        <v>0.94141647486959179</v>
      </c>
      <c r="E36" s="2457">
        <f>IF(ISERROR('SA10'!F10),0,('SA10'!F10))</f>
        <v>1.1595371722317929</v>
      </c>
      <c r="F36" s="2457">
        <f>IF(ISERROR('SA10'!G10),0,('SA10'!G10))</f>
        <v>0.90410135444897965</v>
      </c>
      <c r="G36" s="2457">
        <f>IF(ISERROR('SA10'!H10),0,('SA10'!H10))</f>
        <v>1.1126710513877263</v>
      </c>
      <c r="H36" s="2457">
        <f>IF(ISERROR('SA10'!I10),0,('SA10'!I10))</f>
        <v>1.1126710513877263</v>
      </c>
      <c r="I36" s="2457">
        <f>IF(ISERROR('SA10'!J10),0,('SA10'!J10))</f>
        <v>1.1126714638997157</v>
      </c>
      <c r="J36" s="2457">
        <f>IF(ISERROR('SA10'!K10),0,('SA10'!K10))</f>
        <v>1.0693679652982286</v>
      </c>
      <c r="K36" s="2457">
        <f>IF(ISERROR('SA10'!L10),0,('SA10'!L10))</f>
        <v>0.94475304452379638</v>
      </c>
      <c r="L36" s="2457">
        <f>IF(ISERROR('SA10'!M10),0,('SA10'!M10))</f>
        <v>0.9250196637307142</v>
      </c>
    </row>
    <row r="37" spans="1:12" s="370" customFormat="1" ht="3" customHeight="1" x14ac:dyDescent="0.25">
      <c r="A37" s="360"/>
      <c r="C37" s="210"/>
      <c r="D37" s="210"/>
      <c r="E37" s="210"/>
      <c r="F37" s="210"/>
      <c r="G37" s="210"/>
      <c r="H37" s="210"/>
      <c r="I37" s="210"/>
      <c r="J37" s="210"/>
      <c r="K37" s="210"/>
      <c r="L37" s="210"/>
    </row>
    <row r="38" spans="1:12" s="370" customFormat="1" ht="3" customHeight="1" x14ac:dyDescent="0.25">
      <c r="A38" s="360"/>
      <c r="C38" s="2458"/>
      <c r="D38" s="2457"/>
      <c r="E38" s="2457"/>
      <c r="F38" s="2457"/>
      <c r="G38" s="2457"/>
      <c r="H38" s="2457"/>
      <c r="I38" s="2457"/>
      <c r="J38" s="2457"/>
      <c r="K38" s="2457"/>
      <c r="L38" s="2457"/>
    </row>
    <row r="39" spans="1:12" ht="11.25" customHeight="1" x14ac:dyDescent="0.25">
      <c r="B39" s="149"/>
      <c r="C39" s="370"/>
      <c r="D39" s="370"/>
      <c r="E39" s="370"/>
      <c r="F39" s="370"/>
      <c r="G39" s="370"/>
      <c r="H39" s="370"/>
      <c r="I39" s="370"/>
      <c r="J39" s="370"/>
      <c r="K39" s="370" t="s">
        <v>2226</v>
      </c>
      <c r="L39" s="370"/>
    </row>
    <row r="40" spans="1:12" ht="11.25" customHeight="1" x14ac:dyDescent="0.25">
      <c r="A40" s="464" t="str">
        <f>A16</f>
        <v>Long term investments committed</v>
      </c>
      <c r="B40" s="149"/>
      <c r="I40" s="363"/>
    </row>
    <row r="41" spans="1:12" ht="11.25" customHeight="1" x14ac:dyDescent="0.25">
      <c r="A41" s="1654" t="s">
        <v>950</v>
      </c>
      <c r="B41" s="149"/>
      <c r="C41" s="1636"/>
      <c r="D41" s="1636"/>
      <c r="E41" s="1636"/>
      <c r="F41" s="1636"/>
      <c r="G41" s="1636"/>
      <c r="H41" s="1636"/>
      <c r="I41" s="1636"/>
      <c r="J41" s="1636"/>
      <c r="K41" s="1636"/>
      <c r="L41" s="1636"/>
    </row>
    <row r="42" spans="1:12" ht="11.25" customHeight="1" x14ac:dyDescent="0.25">
      <c r="A42" s="1655"/>
      <c r="B42" s="149"/>
      <c r="C42" s="1636"/>
      <c r="D42" s="1636"/>
      <c r="E42" s="1636"/>
      <c r="F42" s="1636"/>
      <c r="G42" s="1636"/>
      <c r="H42" s="1636"/>
      <c r="I42" s="1636"/>
      <c r="J42" s="1636"/>
      <c r="K42" s="1636"/>
      <c r="L42" s="1636"/>
    </row>
    <row r="43" spans="1:12" ht="11.25" customHeight="1" x14ac:dyDescent="0.25">
      <c r="A43" s="1655"/>
      <c r="B43" s="149"/>
      <c r="C43" s="1636"/>
      <c r="D43" s="1636"/>
      <c r="E43" s="1636"/>
      <c r="F43" s="1636"/>
      <c r="G43" s="1636"/>
      <c r="H43" s="1636"/>
      <c r="I43" s="1636"/>
      <c r="J43" s="1636"/>
      <c r="K43" s="1636"/>
      <c r="L43" s="1636"/>
    </row>
    <row r="44" spans="1:12" ht="11.25" customHeight="1" x14ac:dyDescent="0.25">
      <c r="A44" s="1655"/>
      <c r="B44" s="149"/>
      <c r="C44" s="1636"/>
      <c r="D44" s="1636"/>
      <c r="E44" s="1636"/>
      <c r="F44" s="1636"/>
      <c r="G44" s="1636"/>
      <c r="H44" s="1636"/>
      <c r="I44" s="1636"/>
      <c r="J44" s="1636"/>
      <c r="K44" s="1636"/>
      <c r="L44" s="1636"/>
    </row>
    <row r="45" spans="1:12" ht="11.25" customHeight="1" x14ac:dyDescent="0.25">
      <c r="A45" s="1655"/>
      <c r="B45" s="149"/>
      <c r="C45" s="1636"/>
      <c r="D45" s="1636"/>
      <c r="E45" s="1636"/>
      <c r="F45" s="1636"/>
      <c r="G45" s="1636"/>
      <c r="H45" s="1636"/>
      <c r="I45" s="1636"/>
      <c r="J45" s="1636"/>
      <c r="K45" s="1636"/>
      <c r="L45" s="1636"/>
    </row>
    <row r="46" spans="1:12" ht="11.25" customHeight="1" x14ac:dyDescent="0.25">
      <c r="A46" s="1655"/>
      <c r="B46" s="149"/>
      <c r="C46" s="1636"/>
      <c r="D46" s="1636"/>
      <c r="E46" s="1636"/>
      <c r="F46" s="1636"/>
      <c r="G46" s="1636"/>
      <c r="H46" s="1636"/>
      <c r="I46" s="1636"/>
      <c r="J46" s="1636"/>
      <c r="K46" s="1636"/>
      <c r="L46" s="1636"/>
    </row>
    <row r="47" spans="1:12" ht="11.25" customHeight="1" x14ac:dyDescent="0.25">
      <c r="A47" s="1655"/>
      <c r="B47" s="149"/>
      <c r="C47" s="1636"/>
      <c r="D47" s="1636"/>
      <c r="E47" s="1636"/>
      <c r="F47" s="1636"/>
      <c r="G47" s="1636"/>
      <c r="H47" s="1636"/>
      <c r="I47" s="1636"/>
      <c r="J47" s="1636"/>
      <c r="K47" s="1636"/>
      <c r="L47" s="1636"/>
    </row>
    <row r="48" spans="1:12" ht="11.25" customHeight="1" x14ac:dyDescent="0.25">
      <c r="A48" s="1655"/>
      <c r="B48" s="149"/>
      <c r="C48" s="1636"/>
      <c r="D48" s="1636"/>
      <c r="E48" s="1636"/>
      <c r="F48" s="1636"/>
      <c r="G48" s="1636"/>
      <c r="H48" s="1636"/>
      <c r="I48" s="1636"/>
      <c r="J48" s="1636"/>
      <c r="K48" s="1636"/>
      <c r="L48" s="1636"/>
    </row>
    <row r="49" spans="1:12" ht="11.25" customHeight="1" x14ac:dyDescent="0.25">
      <c r="A49" s="1655"/>
      <c r="B49" s="149"/>
      <c r="C49" s="1636"/>
      <c r="D49" s="1636"/>
      <c r="E49" s="1636"/>
      <c r="F49" s="1636"/>
      <c r="G49" s="1636"/>
      <c r="H49" s="1636"/>
      <c r="I49" s="1636"/>
      <c r="J49" s="1636"/>
      <c r="K49" s="1636"/>
      <c r="L49" s="1636"/>
    </row>
    <row r="50" spans="1:12" ht="11.25" customHeight="1" x14ac:dyDescent="0.25">
      <c r="A50" s="1655"/>
      <c r="B50" s="149"/>
      <c r="C50" s="1636"/>
      <c r="D50" s="1636"/>
      <c r="E50" s="1636"/>
      <c r="F50" s="1636"/>
      <c r="G50" s="1636"/>
      <c r="H50" s="1636"/>
      <c r="I50" s="1636"/>
      <c r="J50" s="1636"/>
      <c r="K50" s="1636"/>
      <c r="L50" s="1636"/>
    </row>
    <row r="51" spans="1:12" ht="11.25" customHeight="1" x14ac:dyDescent="0.25">
      <c r="A51" s="1655"/>
      <c r="B51" s="149"/>
      <c r="C51" s="1636"/>
      <c r="D51" s="1636"/>
      <c r="E51" s="1636"/>
      <c r="F51" s="1636"/>
      <c r="G51" s="1636"/>
      <c r="H51" s="1636"/>
      <c r="I51" s="1636"/>
      <c r="J51" s="1636"/>
      <c r="K51" s="1636"/>
      <c r="L51" s="1636"/>
    </row>
    <row r="52" spans="1:12" ht="11.25" customHeight="1" thickBot="1" x14ac:dyDescent="0.3">
      <c r="A52" s="464"/>
      <c r="B52" s="149"/>
      <c r="C52" s="361">
        <f>SUM(C41:C51)</f>
        <v>0</v>
      </c>
      <c r="D52" s="361">
        <f t="shared" ref="D52:L52" si="7">SUM(D41:D51)</f>
        <v>0</v>
      </c>
      <c r="E52" s="361">
        <f t="shared" si="7"/>
        <v>0</v>
      </c>
      <c r="F52" s="361">
        <f t="shared" si="7"/>
        <v>0</v>
      </c>
      <c r="G52" s="361">
        <f t="shared" si="7"/>
        <v>0</v>
      </c>
      <c r="H52" s="361">
        <f t="shared" si="7"/>
        <v>0</v>
      </c>
      <c r="I52" s="361">
        <f t="shared" si="7"/>
        <v>0</v>
      </c>
      <c r="J52" s="361">
        <f t="shared" si="7"/>
        <v>0</v>
      </c>
      <c r="K52" s="361">
        <f t="shared" si="7"/>
        <v>0</v>
      </c>
      <c r="L52" s="361">
        <f t="shared" si="7"/>
        <v>0</v>
      </c>
    </row>
    <row r="53" spans="1:12" ht="11.25" customHeight="1" thickTop="1" x14ac:dyDescent="0.25">
      <c r="A53" s="464" t="str">
        <f>A17</f>
        <v>Reserves to be backed by cash/investments</v>
      </c>
      <c r="B53" s="149"/>
      <c r="I53" s="363"/>
    </row>
    <row r="54" spans="1:12" ht="11.25" customHeight="1" x14ac:dyDescent="0.25">
      <c r="A54" s="149" t="str">
        <f>'SA3'!A64</f>
        <v>Housing Development Fund</v>
      </c>
      <c r="B54" s="149"/>
      <c r="C54" s="210">
        <f>'SA3'!C64</f>
        <v>52480002</v>
      </c>
      <c r="D54" s="210">
        <f>'SA3'!D64</f>
        <v>53213896</v>
      </c>
      <c r="E54" s="210">
        <f>'SA3'!E64</f>
        <v>55525904</v>
      </c>
      <c r="F54" s="210">
        <f>'SA3'!F64</f>
        <v>54437827</v>
      </c>
      <c r="G54" s="210">
        <f>'SA3'!G64</f>
        <v>54438000</v>
      </c>
      <c r="H54" s="210">
        <f>'SA3'!H64</f>
        <v>54438000</v>
      </c>
      <c r="I54" s="210">
        <f>'SA3'!I64</f>
        <v>54438000</v>
      </c>
      <c r="J54" s="210">
        <f>'SA3'!J64</f>
        <v>57323031.831</v>
      </c>
      <c r="K54" s="210">
        <f>'SA3'!K64</f>
        <v>60131860.390718997</v>
      </c>
      <c r="L54" s="210">
        <f>'SA3'!L64</f>
        <v>0</v>
      </c>
    </row>
    <row r="55" spans="1:12" ht="11.25" customHeight="1" x14ac:dyDescent="0.25">
      <c r="A55" s="149" t="str">
        <f>'SA3'!A65</f>
        <v>Capital replacement</v>
      </c>
      <c r="B55" s="149"/>
      <c r="C55" s="1636"/>
      <c r="D55" s="1636"/>
      <c r="E55" s="1636"/>
      <c r="F55" s="1636"/>
      <c r="G55" s="1636"/>
      <c r="H55" s="1636"/>
      <c r="I55" s="1636"/>
      <c r="J55" s="1636"/>
      <c r="K55" s="1636"/>
      <c r="L55" s="1636"/>
    </row>
    <row r="56" spans="1:12" ht="11.25" customHeight="1" x14ac:dyDescent="0.25">
      <c r="A56" s="149" t="str">
        <f>'SA3'!A66</f>
        <v>Self-insurance</v>
      </c>
      <c r="B56" s="149"/>
      <c r="C56" s="1636"/>
      <c r="D56" s="1636"/>
      <c r="E56" s="1636"/>
      <c r="F56" s="1636"/>
      <c r="G56" s="1636"/>
      <c r="H56" s="1636"/>
      <c r="I56" s="1636"/>
      <c r="J56" s="1636"/>
      <c r="K56" s="1636"/>
      <c r="L56" s="1636"/>
    </row>
    <row r="57" spans="1:12" ht="11.25" customHeight="1" x14ac:dyDescent="0.25">
      <c r="A57" s="1654" t="s">
        <v>1396</v>
      </c>
      <c r="B57" s="1086"/>
      <c r="C57" s="1636"/>
      <c r="D57" s="1636"/>
      <c r="E57" s="1636"/>
      <c r="F57" s="1636"/>
      <c r="G57" s="1636"/>
      <c r="H57" s="1636"/>
      <c r="I57" s="1636"/>
      <c r="J57" s="1636"/>
      <c r="K57" s="1636"/>
      <c r="L57" s="1636"/>
    </row>
    <row r="58" spans="1:12" ht="11.25" customHeight="1" x14ac:dyDescent="0.25">
      <c r="A58" s="1654"/>
      <c r="B58" s="370"/>
      <c r="C58" s="1636"/>
      <c r="D58" s="1636"/>
      <c r="E58" s="1636"/>
      <c r="F58" s="1636"/>
      <c r="G58" s="1636"/>
      <c r="H58" s="1636"/>
      <c r="I58" s="1636"/>
      <c r="J58" s="1636"/>
      <c r="K58" s="1636"/>
      <c r="L58" s="1636"/>
    </row>
    <row r="59" spans="1:12" ht="11.25" customHeight="1" x14ac:dyDescent="0.25">
      <c r="A59" s="1654"/>
      <c r="B59" s="370"/>
      <c r="C59" s="1636"/>
      <c r="D59" s="1636"/>
      <c r="E59" s="1636"/>
      <c r="F59" s="1636"/>
      <c r="G59" s="1636"/>
      <c r="H59" s="1636"/>
      <c r="I59" s="1636"/>
      <c r="J59" s="1636"/>
      <c r="K59" s="1636"/>
      <c r="L59" s="1636"/>
    </row>
    <row r="60" spans="1:12" ht="11.25" customHeight="1" x14ac:dyDescent="0.25">
      <c r="A60" s="1654"/>
      <c r="B60" s="370"/>
      <c r="C60" s="1636"/>
      <c r="D60" s="1636"/>
      <c r="E60" s="1636"/>
      <c r="F60" s="1636"/>
      <c r="G60" s="1636"/>
      <c r="H60" s="1636"/>
      <c r="I60" s="1636"/>
      <c r="J60" s="1636"/>
      <c r="K60" s="1636"/>
      <c r="L60" s="1636"/>
    </row>
    <row r="61" spans="1:12" ht="11.25" customHeight="1" x14ac:dyDescent="0.25">
      <c r="A61" s="1654"/>
      <c r="B61" s="370"/>
      <c r="C61" s="1636"/>
      <c r="D61" s="1636"/>
      <c r="E61" s="1636"/>
      <c r="F61" s="1636"/>
      <c r="G61" s="1636"/>
      <c r="H61" s="1636"/>
      <c r="I61" s="1636"/>
      <c r="J61" s="1636"/>
      <c r="K61" s="1636"/>
      <c r="L61" s="1636"/>
    </row>
    <row r="62" spans="1:12" ht="11.25" customHeight="1" x14ac:dyDescent="0.25">
      <c r="A62" s="1654"/>
      <c r="B62" s="370"/>
      <c r="C62" s="1636"/>
      <c r="D62" s="1636"/>
      <c r="E62" s="1636"/>
      <c r="F62" s="1636"/>
      <c r="G62" s="1636"/>
      <c r="H62" s="1636"/>
      <c r="I62" s="1636"/>
      <c r="J62" s="1636"/>
      <c r="K62" s="1636"/>
      <c r="L62" s="1636"/>
    </row>
    <row r="63" spans="1:12" ht="11.25" customHeight="1" x14ac:dyDescent="0.25">
      <c r="A63" s="1654"/>
      <c r="B63" s="370"/>
      <c r="C63" s="1636"/>
      <c r="D63" s="1636"/>
      <c r="E63" s="1636"/>
      <c r="F63" s="1636"/>
      <c r="G63" s="1636"/>
      <c r="H63" s="1636"/>
      <c r="I63" s="1636"/>
      <c r="J63" s="1636"/>
      <c r="K63" s="1636"/>
      <c r="L63" s="1636"/>
    </row>
    <row r="64" spans="1:12" ht="11.25" customHeight="1" x14ac:dyDescent="0.25">
      <c r="A64" s="1654"/>
      <c r="B64" s="370"/>
      <c r="C64" s="1636"/>
      <c r="D64" s="1636"/>
      <c r="E64" s="1636"/>
      <c r="F64" s="1636"/>
      <c r="G64" s="1636"/>
      <c r="H64" s="1636"/>
      <c r="I64" s="1636"/>
      <c r="J64" s="1636"/>
      <c r="K64" s="1636"/>
      <c r="L64" s="1636"/>
    </row>
    <row r="65" spans="1:12" ht="11.25" customHeight="1" x14ac:dyDescent="0.25">
      <c r="A65" s="1654"/>
      <c r="B65" s="370"/>
      <c r="C65" s="1636"/>
      <c r="D65" s="1636"/>
      <c r="E65" s="1636"/>
      <c r="F65" s="1636"/>
      <c r="G65" s="1636"/>
      <c r="H65" s="1636"/>
      <c r="I65" s="1636"/>
      <c r="J65" s="1636"/>
      <c r="K65" s="1636"/>
      <c r="L65" s="1636"/>
    </row>
    <row r="67" spans="1:12" ht="11.25" customHeight="1" thickBot="1" x14ac:dyDescent="0.3">
      <c r="B67" s="149"/>
      <c r="C67" s="361">
        <f t="shared" ref="C67:L67" si="8">SUM(C54:C65)</f>
        <v>52480002</v>
      </c>
      <c r="D67" s="361">
        <f t="shared" si="8"/>
        <v>53213896</v>
      </c>
      <c r="E67" s="361">
        <f t="shared" si="8"/>
        <v>55525904</v>
      </c>
      <c r="F67" s="361">
        <f t="shared" si="8"/>
        <v>54437827</v>
      </c>
      <c r="G67" s="361">
        <f t="shared" si="8"/>
        <v>54438000</v>
      </c>
      <c r="H67" s="361">
        <f t="shared" si="8"/>
        <v>54438000</v>
      </c>
      <c r="I67" s="361">
        <f t="shared" si="8"/>
        <v>54438000</v>
      </c>
      <c r="J67" s="361">
        <f t="shared" si="8"/>
        <v>57323031.831</v>
      </c>
      <c r="K67" s="361">
        <f t="shared" si="8"/>
        <v>60131860.390718997</v>
      </c>
      <c r="L67" s="361">
        <f t="shared" si="8"/>
        <v>0</v>
      </c>
    </row>
    <row r="68" spans="1:12" ht="11.25" customHeight="1" thickTop="1" x14ac:dyDescent="0.25">
      <c r="B68" s="149"/>
    </row>
    <row r="69" spans="1:12" ht="11.25" customHeight="1" x14ac:dyDescent="0.25">
      <c r="B69" s="149"/>
    </row>
    <row r="70" spans="1:12" ht="11.25" customHeight="1" x14ac:dyDescent="0.25">
      <c r="B70" s="149"/>
    </row>
    <row r="71" spans="1:12" ht="11.25" customHeight="1" x14ac:dyDescent="0.25">
      <c r="B71" s="149"/>
    </row>
    <row r="72" spans="1:12" ht="11.25" customHeight="1" x14ac:dyDescent="0.25">
      <c r="B72" s="149"/>
    </row>
    <row r="73" spans="1:12" ht="11.25" customHeight="1" x14ac:dyDescent="0.25">
      <c r="B73" s="149"/>
    </row>
    <row r="74" spans="1:12" ht="11.25" customHeight="1" x14ac:dyDescent="0.25">
      <c r="B74" s="149"/>
    </row>
    <row r="75" spans="1:12" ht="11.25" customHeight="1" x14ac:dyDescent="0.25">
      <c r="B75" s="149"/>
    </row>
    <row r="76" spans="1:12" ht="11.25" customHeight="1" x14ac:dyDescent="0.25">
      <c r="B76" s="149"/>
    </row>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sheetData>
  <sheetProtection password="C646" sheet="1" objects="1" scenarios="1"/>
  <mergeCells count="2">
    <mergeCell ref="J2:L2"/>
    <mergeCell ref="F2:I2"/>
  </mergeCells>
  <phoneticPr fontId="2" type="noConversion"/>
  <dataValidations count="1">
    <dataValidation type="decimal" allowBlank="1" showInputMessage="1" showErrorMessage="1" sqref="C12:L13 C15:L15 C17:L17 C55:L65 C38 C41:L51 C29:L31">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enableFormatConditionsCalculation="0">
    <tabColor indexed="44"/>
    <pageSetUpPr fitToPage="1"/>
  </sheetPr>
  <dimension ref="A1:K128"/>
  <sheetViews>
    <sheetView showGridLines="0" zoomScaleNormal="100" workbookViewId="0">
      <pane xSplit="2" ySplit="3" topLeftCell="C88" activePane="bottomRight" state="frozen"/>
      <selection pane="topRight"/>
      <selection pane="bottomLeft"/>
      <selection pane="bottomRight" activeCell="F57" sqref="F57"/>
    </sheetView>
  </sheetViews>
  <sheetFormatPr defaultColWidth="9.1796875" defaultRowHeight="10.5" x14ac:dyDescent="0.25"/>
  <cols>
    <col min="1" max="1" width="31.453125" style="149" customWidth="1"/>
    <col min="2" max="2" width="3" style="247" customWidth="1"/>
    <col min="3" max="11" width="9.26953125" style="149" customWidth="1"/>
    <col min="12" max="12" width="9.81640625" style="149" customWidth="1"/>
    <col min="13" max="13" width="9.54296875" style="149" customWidth="1"/>
    <col min="14" max="14" width="9.81640625" style="149" customWidth="1"/>
    <col min="15" max="17" width="9.54296875" style="149" customWidth="1"/>
    <col min="18" max="18" width="9.81640625" style="149" customWidth="1"/>
    <col min="19" max="21" width="9.54296875" style="149" customWidth="1"/>
    <col min="22" max="23" width="9.81640625" style="149" customWidth="1"/>
    <col min="24" max="16384" width="9.1796875" style="149"/>
  </cols>
  <sheetData>
    <row r="1" spans="1:11" s="179" customFormat="1" ht="13" x14ac:dyDescent="0.3">
      <c r="A1" s="147" t="str">
        <f>muni&amp;" - "&amp;Approve9</f>
        <v>KZN225 Msunduzi - Table A9 Consolidated Asset Management</v>
      </c>
      <c r="B1" s="147"/>
      <c r="C1" s="147"/>
      <c r="D1" s="147"/>
      <c r="E1" s="147"/>
      <c r="F1" s="147"/>
      <c r="G1" s="147"/>
      <c r="H1" s="147"/>
      <c r="I1" s="147"/>
      <c r="J1" s="147"/>
      <c r="K1" s="147"/>
    </row>
    <row r="2" spans="1:11" ht="28.5" customHeight="1" x14ac:dyDescent="0.25">
      <c r="A2" s="975" t="str">
        <f>desc</f>
        <v>Description</v>
      </c>
      <c r="B2" s="419" t="str">
        <f>head27</f>
        <v>Ref</v>
      </c>
      <c r="C2" s="150" t="str">
        <f>head1b</f>
        <v>2009/10</v>
      </c>
      <c r="D2" s="150" t="str">
        <f>head1A</f>
        <v>2010/11</v>
      </c>
      <c r="E2" s="146" t="str">
        <f>Head1</f>
        <v>2011/12</v>
      </c>
      <c r="F2" s="2677" t="str">
        <f>Head2</f>
        <v>Current Year 2012/13</v>
      </c>
      <c r="G2" s="2678"/>
      <c r="H2" s="2682"/>
      <c r="I2" s="2674" t="str">
        <f>Head3</f>
        <v>2013/14 Medium Term Revenue &amp; Expenditure Framework</v>
      </c>
      <c r="J2" s="2675"/>
      <c r="K2" s="2676"/>
    </row>
    <row r="3" spans="1:11" ht="21" x14ac:dyDescent="0.25">
      <c r="A3" s="1431" t="s">
        <v>665</v>
      </c>
      <c r="B3" s="990"/>
      <c r="C3" s="390" t="str">
        <f>Head5</f>
        <v>Audited Outcome</v>
      </c>
      <c r="D3" s="390" t="str">
        <f>Head5</f>
        <v>Audited Outcome</v>
      </c>
      <c r="E3" s="391" t="str">
        <f>Head5</f>
        <v>Audited Outcome</v>
      </c>
      <c r="F3" s="299" t="str">
        <f>Head6</f>
        <v>Original Budget</v>
      </c>
      <c r="G3" s="390" t="str">
        <f>Head7</f>
        <v>Adjusted Budget</v>
      </c>
      <c r="H3" s="391" t="str">
        <f>Head8</f>
        <v>Full Year Forecast</v>
      </c>
      <c r="I3" s="299" t="str">
        <f>Head9</f>
        <v>Budget Year 2013/14</v>
      </c>
      <c r="J3" s="390" t="str">
        <f>Head10</f>
        <v>Budget Year +1 2014/15</v>
      </c>
      <c r="K3" s="391" t="str">
        <f>Head11</f>
        <v>Budget Year +2 2015/16</v>
      </c>
    </row>
    <row r="4" spans="1:11" ht="11.25" customHeight="1" x14ac:dyDescent="0.25">
      <c r="A4" s="1540" t="s">
        <v>1418</v>
      </c>
      <c r="B4" s="182"/>
      <c r="C4" s="218"/>
      <c r="D4" s="218"/>
      <c r="E4" s="219"/>
      <c r="F4" s="220"/>
      <c r="G4" s="218"/>
      <c r="H4" s="217"/>
      <c r="I4" s="221"/>
      <c r="J4" s="218"/>
      <c r="K4" s="219"/>
    </row>
    <row r="5" spans="1:11" ht="11.25" customHeight="1" x14ac:dyDescent="0.25">
      <c r="A5" s="1541" t="s">
        <v>1069</v>
      </c>
      <c r="B5" s="182">
        <v>1</v>
      </c>
      <c r="C5" s="218">
        <f>SUM(C11:C18)</f>
        <v>176033120</v>
      </c>
      <c r="D5" s="218">
        <f>SUM(D11:D18)</f>
        <v>22326898.370000001</v>
      </c>
      <c r="E5" s="219">
        <f t="shared" ref="E5:K5" si="0">SUM(E11:E18)</f>
        <v>0</v>
      </c>
      <c r="F5" s="220">
        <f t="shared" si="0"/>
        <v>110102410</v>
      </c>
      <c r="G5" s="218">
        <f t="shared" si="0"/>
        <v>135653076</v>
      </c>
      <c r="H5" s="217">
        <f t="shared" si="0"/>
        <v>135653076</v>
      </c>
      <c r="I5" s="221">
        <f t="shared" si="0"/>
        <v>188050000</v>
      </c>
      <c r="J5" s="218">
        <f t="shared" si="0"/>
        <v>66342000</v>
      </c>
      <c r="K5" s="219">
        <f t="shared" si="0"/>
        <v>51990000</v>
      </c>
    </row>
    <row r="6" spans="1:11" ht="11.25" customHeight="1" x14ac:dyDescent="0.25">
      <c r="A6" s="1542" t="s">
        <v>387</v>
      </c>
      <c r="B6" s="350"/>
      <c r="C6" s="1063">
        <f>SA34a!C7</f>
        <v>32581294</v>
      </c>
      <c r="D6" s="1063">
        <f>SA34a!D7</f>
        <v>10753424</v>
      </c>
      <c r="E6" s="1064">
        <f>SA34a!E7</f>
        <v>0</v>
      </c>
      <c r="F6" s="1065">
        <f>SA34a!F7</f>
        <v>45000000</v>
      </c>
      <c r="G6" s="1063">
        <f>SA34a!G7</f>
        <v>0</v>
      </c>
      <c r="H6" s="1066">
        <f>SA34a!H7</f>
        <v>0</v>
      </c>
      <c r="I6" s="1067">
        <f>SA34a!I7</f>
        <v>4780000</v>
      </c>
      <c r="J6" s="1063">
        <f>SA34a!J7</f>
        <v>3250000</v>
      </c>
      <c r="K6" s="1064">
        <f>SA34a!K7</f>
        <v>1200000</v>
      </c>
    </row>
    <row r="7" spans="1:11" ht="11.25" customHeight="1" x14ac:dyDescent="0.25">
      <c r="A7" s="1542" t="s">
        <v>750</v>
      </c>
      <c r="B7" s="350"/>
      <c r="C7" s="1063">
        <f>SA34a!C10</f>
        <v>21458564</v>
      </c>
      <c r="D7" s="1063">
        <f>SA34a!D10</f>
        <v>5482116.6200000001</v>
      </c>
      <c r="E7" s="1064">
        <f>SA34a!E10</f>
        <v>0</v>
      </c>
      <c r="F7" s="1065">
        <f>SA34a!F10</f>
        <v>4082960</v>
      </c>
      <c r="G7" s="1063">
        <f>SA34a!G10</f>
        <v>53095729</v>
      </c>
      <c r="H7" s="1066">
        <f>SA34a!H10</f>
        <v>53095729</v>
      </c>
      <c r="I7" s="1067">
        <f>SA34a!I10</f>
        <v>151000000</v>
      </c>
      <c r="J7" s="1063">
        <f>SA34a!J10</f>
        <v>38392000</v>
      </c>
      <c r="K7" s="1064">
        <f>SA34a!K10</f>
        <v>21000000</v>
      </c>
    </row>
    <row r="8" spans="1:11" ht="11.25" customHeight="1" x14ac:dyDescent="0.25">
      <c r="A8" s="1542" t="s">
        <v>388</v>
      </c>
      <c r="B8" s="350"/>
      <c r="C8" s="1063">
        <f>SA34a!C14</f>
        <v>16849925</v>
      </c>
      <c r="D8" s="1063">
        <f>SA34a!D14</f>
        <v>885714</v>
      </c>
      <c r="E8" s="1064">
        <f>SA34a!E14</f>
        <v>0</v>
      </c>
      <c r="F8" s="1065">
        <f>SA34a!F14</f>
        <v>25419450</v>
      </c>
      <c r="G8" s="1063">
        <f>SA34a!G14</f>
        <v>27419450</v>
      </c>
      <c r="H8" s="1066">
        <f>SA34a!H14</f>
        <v>27419450</v>
      </c>
      <c r="I8" s="1067">
        <f>SA34a!I14</f>
        <v>0</v>
      </c>
      <c r="J8" s="1063">
        <f>SA34a!J14</f>
        <v>0</v>
      </c>
      <c r="K8" s="1064">
        <f>SA34a!K14</f>
        <v>0</v>
      </c>
    </row>
    <row r="9" spans="1:11" ht="11.25" customHeight="1" x14ac:dyDescent="0.25">
      <c r="A9" s="1542" t="s">
        <v>389</v>
      </c>
      <c r="B9" s="350"/>
      <c r="C9" s="1063">
        <f>SA34a!C18</f>
        <v>0</v>
      </c>
      <c r="D9" s="1063">
        <f>SA34a!D18</f>
        <v>1055171.1200000001</v>
      </c>
      <c r="E9" s="1064">
        <f>SA34a!E18</f>
        <v>0</v>
      </c>
      <c r="F9" s="1065">
        <f>SA34a!F18</f>
        <v>0</v>
      </c>
      <c r="G9" s="1063">
        <f>SA34a!G18</f>
        <v>0</v>
      </c>
      <c r="H9" s="1066">
        <f>SA34a!H18</f>
        <v>0</v>
      </c>
      <c r="I9" s="1067">
        <f>SA34a!I18</f>
        <v>2000000</v>
      </c>
      <c r="J9" s="1063">
        <f>SA34a!J18</f>
        <v>2000000</v>
      </c>
      <c r="K9" s="1064">
        <f>SA34a!K18</f>
        <v>6000000</v>
      </c>
    </row>
    <row r="10" spans="1:11" ht="11.25" customHeight="1" x14ac:dyDescent="0.25">
      <c r="A10" s="1542" t="s">
        <v>689</v>
      </c>
      <c r="B10" s="350"/>
      <c r="C10" s="1063">
        <f>SA34a!C21</f>
        <v>55604151</v>
      </c>
      <c r="D10" s="1063">
        <f>SA34a!D21</f>
        <v>0</v>
      </c>
      <c r="E10" s="1064">
        <f>SA34a!E21</f>
        <v>0</v>
      </c>
      <c r="F10" s="1065">
        <f>SA34a!F21</f>
        <v>15000000</v>
      </c>
      <c r="G10" s="1063">
        <f>SA34a!G21</f>
        <v>15000000</v>
      </c>
      <c r="H10" s="1066">
        <f>SA34a!H21</f>
        <v>15000000</v>
      </c>
      <c r="I10" s="1067">
        <f>SA34a!I21</f>
        <v>0</v>
      </c>
      <c r="J10" s="1063">
        <f>SA34a!J21</f>
        <v>0</v>
      </c>
      <c r="K10" s="1064">
        <f>SA34a!K21</f>
        <v>0</v>
      </c>
    </row>
    <row r="11" spans="1:11" ht="11.25" customHeight="1" x14ac:dyDescent="0.25">
      <c r="A11" s="1432" t="s">
        <v>974</v>
      </c>
      <c r="B11" s="350"/>
      <c r="C11" s="1025">
        <f>SUM(C6:C10)</f>
        <v>126493934</v>
      </c>
      <c r="D11" s="1025">
        <f>SUM(D6:D10)</f>
        <v>18176425.740000002</v>
      </c>
      <c r="E11" s="1026">
        <f t="shared" ref="E11:K11" si="1">SUM(E6:E10)</f>
        <v>0</v>
      </c>
      <c r="F11" s="1027">
        <f t="shared" si="1"/>
        <v>89502410</v>
      </c>
      <c r="G11" s="1025">
        <f t="shared" si="1"/>
        <v>95515179</v>
      </c>
      <c r="H11" s="1028">
        <f t="shared" si="1"/>
        <v>95515179</v>
      </c>
      <c r="I11" s="1029">
        <f t="shared" si="1"/>
        <v>157780000</v>
      </c>
      <c r="J11" s="1025">
        <f t="shared" si="1"/>
        <v>43642000</v>
      </c>
      <c r="K11" s="1026">
        <f t="shared" si="1"/>
        <v>28200000</v>
      </c>
    </row>
    <row r="12" spans="1:11" ht="11.25" customHeight="1" x14ac:dyDescent="0.25">
      <c r="A12" s="1433" t="str">
        <f>$A$42</f>
        <v>Community</v>
      </c>
      <c r="B12" s="182"/>
      <c r="C12" s="1063">
        <f>SA34a!C27</f>
        <v>33174849</v>
      </c>
      <c r="D12" s="1063">
        <f>SA34a!D27</f>
        <v>80000</v>
      </c>
      <c r="E12" s="1064">
        <f>SA34a!E27</f>
        <v>0</v>
      </c>
      <c r="F12" s="1065">
        <f>SA34a!F27</f>
        <v>20600000</v>
      </c>
      <c r="G12" s="1063">
        <f>SA34a!G27</f>
        <v>36069137</v>
      </c>
      <c r="H12" s="1066">
        <f>SA34a!H27</f>
        <v>36069137</v>
      </c>
      <c r="I12" s="1067">
        <f>SA34a!I27</f>
        <v>0</v>
      </c>
      <c r="J12" s="1063">
        <f>SA34a!J27</f>
        <v>0</v>
      </c>
      <c r="K12" s="1064">
        <f>SA34a!K27</f>
        <v>0</v>
      </c>
    </row>
    <row r="13" spans="1:11" ht="11.25" customHeight="1" x14ac:dyDescent="0.25">
      <c r="A13" s="1433" t="str">
        <f>$A$43</f>
        <v>Heritage assets</v>
      </c>
      <c r="B13" s="182"/>
      <c r="C13" s="1465">
        <f>SA34a!C43</f>
        <v>5710667</v>
      </c>
      <c r="D13" s="1465">
        <f>SA34a!D43</f>
        <v>0</v>
      </c>
      <c r="E13" s="1466">
        <f>SA34a!E43</f>
        <v>0</v>
      </c>
      <c r="F13" s="1467">
        <f>SA34a!F43</f>
        <v>0</v>
      </c>
      <c r="G13" s="1465">
        <f>SA34a!G43</f>
        <v>0</v>
      </c>
      <c r="H13" s="1468">
        <f>SA34a!H43</f>
        <v>0</v>
      </c>
      <c r="I13" s="1469">
        <f>SA34a!I43</f>
        <v>0</v>
      </c>
      <c r="J13" s="1465">
        <f>SA34a!J43</f>
        <v>0</v>
      </c>
      <c r="K13" s="1466">
        <f>SA34a!K43</f>
        <v>0</v>
      </c>
    </row>
    <row r="14" spans="1:11" ht="11.25" customHeight="1" x14ac:dyDescent="0.25">
      <c r="A14" s="1433" t="str">
        <f>$A$44</f>
        <v>Investment properties</v>
      </c>
      <c r="B14" s="182"/>
      <c r="C14" s="1063">
        <f>SA34a!C47</f>
        <v>0</v>
      </c>
      <c r="D14" s="1063">
        <f>SA34a!D47</f>
        <v>0</v>
      </c>
      <c r="E14" s="1064">
        <f>SA34a!E47</f>
        <v>0</v>
      </c>
      <c r="F14" s="1065">
        <f>SA34a!F47</f>
        <v>0</v>
      </c>
      <c r="G14" s="1063">
        <f>SA34a!G47</f>
        <v>0</v>
      </c>
      <c r="H14" s="1066">
        <f>SA34a!H47</f>
        <v>0</v>
      </c>
      <c r="I14" s="1067">
        <f>SA34a!I47</f>
        <v>0</v>
      </c>
      <c r="J14" s="1063">
        <f>SA34a!J47</f>
        <v>0</v>
      </c>
      <c r="K14" s="1064">
        <f>SA34a!K47</f>
        <v>0</v>
      </c>
    </row>
    <row r="15" spans="1:11" ht="11.25" customHeight="1" x14ac:dyDescent="0.25">
      <c r="A15" s="1433" t="str">
        <f>$A$45</f>
        <v>Other assets</v>
      </c>
      <c r="B15" s="182">
        <v>6</v>
      </c>
      <c r="C15" s="1063">
        <f>SA34a!C51</f>
        <v>10653670</v>
      </c>
      <c r="D15" s="1063">
        <f>SA34a!D51</f>
        <v>4070472.63</v>
      </c>
      <c r="E15" s="1064">
        <f>SA34a!E51</f>
        <v>0</v>
      </c>
      <c r="F15" s="1065">
        <f>SA34a!F51</f>
        <v>0</v>
      </c>
      <c r="G15" s="1063">
        <f>SA34a!G51</f>
        <v>4068760</v>
      </c>
      <c r="H15" s="1066">
        <f>SA34a!H51</f>
        <v>4068760</v>
      </c>
      <c r="I15" s="1067">
        <f>SA34a!I51</f>
        <v>30270000</v>
      </c>
      <c r="J15" s="1063">
        <f>SA34a!J51</f>
        <v>22700000</v>
      </c>
      <c r="K15" s="1064">
        <f>SA34a!K51</f>
        <v>23790000</v>
      </c>
    </row>
    <row r="16" spans="1:11" x14ac:dyDescent="0.25">
      <c r="A16" s="1543" t="s">
        <v>1529</v>
      </c>
      <c r="B16" s="557"/>
      <c r="C16" s="1063">
        <f>SA34a!C65</f>
        <v>0</v>
      </c>
      <c r="D16" s="1063">
        <f>SA34a!D65</f>
        <v>0</v>
      </c>
      <c r="E16" s="1064">
        <f>SA34a!E65</f>
        <v>0</v>
      </c>
      <c r="F16" s="1065">
        <f>SA34a!F65</f>
        <v>0</v>
      </c>
      <c r="G16" s="1063">
        <f>SA34a!G65</f>
        <v>0</v>
      </c>
      <c r="H16" s="1066">
        <f>SA34a!H65</f>
        <v>0</v>
      </c>
      <c r="I16" s="1067">
        <f>SA34a!I65</f>
        <v>0</v>
      </c>
      <c r="J16" s="1063">
        <f>SA34a!J65</f>
        <v>0</v>
      </c>
      <c r="K16" s="1064">
        <f>SA34a!K65</f>
        <v>0</v>
      </c>
    </row>
    <row r="17" spans="1:11" ht="11.25" customHeight="1" x14ac:dyDescent="0.25">
      <c r="A17" s="1433" t="str">
        <f>SA34a!A69</f>
        <v>Biological assets</v>
      </c>
      <c r="B17" s="182"/>
      <c r="C17" s="1063">
        <f>SA34a!C69</f>
        <v>0</v>
      </c>
      <c r="D17" s="1063">
        <f>SA34a!D69</f>
        <v>0</v>
      </c>
      <c r="E17" s="1064">
        <f>SA34a!E69</f>
        <v>0</v>
      </c>
      <c r="F17" s="1065">
        <f>SA34a!F69</f>
        <v>0</v>
      </c>
      <c r="G17" s="1063">
        <f>SA34a!G69</f>
        <v>0</v>
      </c>
      <c r="H17" s="1066">
        <f>SA34a!H69</f>
        <v>0</v>
      </c>
      <c r="I17" s="1067">
        <f>SA34a!I69</f>
        <v>0</v>
      </c>
      <c r="J17" s="1063">
        <f>SA34a!J69</f>
        <v>0</v>
      </c>
      <c r="K17" s="1064">
        <f>SA34a!K69</f>
        <v>0</v>
      </c>
    </row>
    <row r="18" spans="1:11" ht="11.25" customHeight="1" x14ac:dyDescent="0.25">
      <c r="A18" s="1433" t="str">
        <f>SA34a!A73</f>
        <v>Intangibles</v>
      </c>
      <c r="B18" s="182"/>
      <c r="C18" s="1142">
        <f>SA34a!C73</f>
        <v>0</v>
      </c>
      <c r="D18" s="1142">
        <f>SA34a!D73</f>
        <v>0</v>
      </c>
      <c r="E18" s="1143">
        <f>SA34a!E73</f>
        <v>0</v>
      </c>
      <c r="F18" s="1144">
        <f>SA34a!F73</f>
        <v>0</v>
      </c>
      <c r="G18" s="1142">
        <f>SA34a!G73</f>
        <v>0</v>
      </c>
      <c r="H18" s="1145">
        <f>SA34a!H73</f>
        <v>0</v>
      </c>
      <c r="I18" s="1146">
        <f>SA34a!I73</f>
        <v>0</v>
      </c>
      <c r="J18" s="1142">
        <f>SA34a!J73</f>
        <v>0</v>
      </c>
      <c r="K18" s="1143">
        <f>SA34a!K73</f>
        <v>0</v>
      </c>
    </row>
    <row r="19" spans="1:11" ht="5.15" customHeight="1" x14ac:dyDescent="0.25">
      <c r="A19" s="1434"/>
      <c r="B19" s="182"/>
      <c r="C19" s="207"/>
      <c r="D19" s="207"/>
      <c r="E19" s="264"/>
      <c r="F19" s="251"/>
      <c r="G19" s="207"/>
      <c r="H19" s="210"/>
      <c r="I19" s="211"/>
      <c r="J19" s="207"/>
      <c r="K19" s="264"/>
    </row>
    <row r="20" spans="1:11" ht="11.25" customHeight="1" x14ac:dyDescent="0.25">
      <c r="A20" s="1541" t="s">
        <v>439</v>
      </c>
      <c r="B20" s="182">
        <v>2</v>
      </c>
      <c r="C20" s="394">
        <f>SUM(C26:C33)</f>
        <v>95810000</v>
      </c>
      <c r="D20" s="394">
        <f>SUM(D26:D33)</f>
        <v>88821854.060000002</v>
      </c>
      <c r="E20" s="345">
        <f t="shared" ref="E20:K20" si="2">SUM(E26:E33)</f>
        <v>0</v>
      </c>
      <c r="F20" s="395">
        <f t="shared" si="2"/>
        <v>119911590</v>
      </c>
      <c r="G20" s="394">
        <f t="shared" si="2"/>
        <v>174102674</v>
      </c>
      <c r="H20" s="396">
        <f t="shared" si="2"/>
        <v>174102674</v>
      </c>
      <c r="I20" s="1470">
        <f t="shared" si="2"/>
        <v>287608405</v>
      </c>
      <c r="J20" s="394">
        <f t="shared" si="2"/>
        <v>187929000</v>
      </c>
      <c r="K20" s="345">
        <f t="shared" si="2"/>
        <v>190400000</v>
      </c>
    </row>
    <row r="21" spans="1:11" ht="11.25" customHeight="1" x14ac:dyDescent="0.25">
      <c r="A21" s="1542" t="s">
        <v>387</v>
      </c>
      <c r="B21" s="350"/>
      <c r="C21" s="1063">
        <f>SA34b!C7</f>
        <v>25990000</v>
      </c>
      <c r="D21" s="1063">
        <f>SA34b!D7</f>
        <v>35628706</v>
      </c>
      <c r="E21" s="1064">
        <f>SA34b!E7</f>
        <v>0</v>
      </c>
      <c r="F21" s="1065">
        <f>SA34b!F7</f>
        <v>33747780</v>
      </c>
      <c r="G21" s="1063">
        <f>SA34b!G7</f>
        <v>57314570</v>
      </c>
      <c r="H21" s="1066">
        <f>SA34b!H7</f>
        <v>57314570</v>
      </c>
      <c r="I21" s="1067">
        <f>SA34b!I7</f>
        <v>157246000</v>
      </c>
      <c r="J21" s="1063">
        <f>SA34b!J7</f>
        <v>60870000</v>
      </c>
      <c r="K21" s="1064">
        <f>SA34b!K7</f>
        <v>27200000</v>
      </c>
    </row>
    <row r="22" spans="1:11" ht="11.25" customHeight="1" x14ac:dyDescent="0.25">
      <c r="A22" s="1542" t="s">
        <v>750</v>
      </c>
      <c r="B22" s="350"/>
      <c r="C22" s="1063">
        <f>SA34b!C10</f>
        <v>4900000</v>
      </c>
      <c r="D22" s="1063">
        <f>SA34b!D10</f>
        <v>11109438</v>
      </c>
      <c r="E22" s="1064">
        <f>SA34b!E10</f>
        <v>0</v>
      </c>
      <c r="F22" s="1065">
        <f>SA34b!F10</f>
        <v>5000000</v>
      </c>
      <c r="G22" s="1063">
        <f>SA34b!G10</f>
        <v>39584294</v>
      </c>
      <c r="H22" s="1066">
        <f>SA34b!H10</f>
        <v>39584294</v>
      </c>
      <c r="I22" s="1067">
        <f>SA34b!I10</f>
        <v>30500000</v>
      </c>
      <c r="J22" s="1063">
        <f>SA34b!J10</f>
        <v>16380000</v>
      </c>
      <c r="K22" s="1064">
        <f>SA34b!K10</f>
        <v>21210000</v>
      </c>
    </row>
    <row r="23" spans="1:11" ht="11.25" customHeight="1" x14ac:dyDescent="0.25">
      <c r="A23" s="1542" t="s">
        <v>388</v>
      </c>
      <c r="B23" s="350"/>
      <c r="C23" s="1063">
        <f>SA34b!C14</f>
        <v>27507000</v>
      </c>
      <c r="D23" s="1063">
        <f>SA34b!D14</f>
        <v>11974254</v>
      </c>
      <c r="E23" s="1064">
        <f>SA34b!E14</f>
        <v>0</v>
      </c>
      <c r="F23" s="1065">
        <f>SA34b!F14</f>
        <v>17750000</v>
      </c>
      <c r="G23" s="1063">
        <f>SA34b!G14</f>
        <v>17750000</v>
      </c>
      <c r="H23" s="1066">
        <f>SA34b!H14</f>
        <v>17750000</v>
      </c>
      <c r="I23" s="1067">
        <f>SA34b!I14</f>
        <v>27925000</v>
      </c>
      <c r="J23" s="1063">
        <f>SA34b!J14</f>
        <v>48879000</v>
      </c>
      <c r="K23" s="1064">
        <f>SA34b!K14</f>
        <v>73490000</v>
      </c>
    </row>
    <row r="24" spans="1:11" ht="11.25" customHeight="1" x14ac:dyDescent="0.25">
      <c r="A24" s="1542" t="s">
        <v>389</v>
      </c>
      <c r="B24" s="350"/>
      <c r="C24" s="1063">
        <f>SA34b!C18</f>
        <v>37413000</v>
      </c>
      <c r="D24" s="1063">
        <f>SA34b!D18</f>
        <v>14435651</v>
      </c>
      <c r="E24" s="1064">
        <f>SA34b!E18</f>
        <v>0</v>
      </c>
      <c r="F24" s="1065">
        <f>SA34b!F18</f>
        <v>26200000</v>
      </c>
      <c r="G24" s="1063">
        <f>SA34b!G18</f>
        <v>26200000</v>
      </c>
      <c r="H24" s="1066">
        <f>SA34b!H18</f>
        <v>26200000</v>
      </c>
      <c r="I24" s="1067">
        <f>SA34b!I18</f>
        <v>44796555</v>
      </c>
      <c r="J24" s="1063">
        <f>SA34b!J18</f>
        <v>42200000</v>
      </c>
      <c r="K24" s="1064">
        <f>SA34b!K18</f>
        <v>57000000</v>
      </c>
    </row>
    <row r="25" spans="1:11" ht="11.25" customHeight="1" x14ac:dyDescent="0.25">
      <c r="A25" s="1542" t="s">
        <v>689</v>
      </c>
      <c r="B25" s="350"/>
      <c r="C25" s="1063">
        <f>SA34b!C21</f>
        <v>0</v>
      </c>
      <c r="D25" s="1063">
        <f>SA34b!D21</f>
        <v>471058.78</v>
      </c>
      <c r="E25" s="1064">
        <f>SA34b!E21</f>
        <v>0</v>
      </c>
      <c r="F25" s="1065">
        <f>SA34b!F21</f>
        <v>2053000</v>
      </c>
      <c r="G25" s="1063">
        <f>SA34b!G21</f>
        <v>2053000</v>
      </c>
      <c r="H25" s="1066">
        <f>SA34b!H21</f>
        <v>2053000</v>
      </c>
      <c r="I25" s="1067">
        <f>SA34b!I21</f>
        <v>8090850</v>
      </c>
      <c r="J25" s="1063">
        <f>SA34b!J21</f>
        <v>7500000</v>
      </c>
      <c r="K25" s="1064">
        <f>SA34b!K21</f>
        <v>7500000</v>
      </c>
    </row>
    <row r="26" spans="1:11" ht="11.25" customHeight="1" x14ac:dyDescent="0.25">
      <c r="A26" s="1432" t="str">
        <f>$A$11</f>
        <v>Infrastructure</v>
      </c>
      <c r="B26" s="369"/>
      <c r="C26" s="1025">
        <f>SUM(C21:C25)</f>
        <v>95810000</v>
      </c>
      <c r="D26" s="1025">
        <f>SUM(D21:D25)</f>
        <v>73619107.780000001</v>
      </c>
      <c r="E26" s="1026">
        <f t="shared" ref="E26:K26" si="3">SUM(E21:E25)</f>
        <v>0</v>
      </c>
      <c r="F26" s="1027">
        <f t="shared" si="3"/>
        <v>84750780</v>
      </c>
      <c r="G26" s="1025">
        <f t="shared" si="3"/>
        <v>142901864</v>
      </c>
      <c r="H26" s="1028">
        <f t="shared" si="3"/>
        <v>142901864</v>
      </c>
      <c r="I26" s="1029">
        <f t="shared" si="3"/>
        <v>268558405</v>
      </c>
      <c r="J26" s="1025">
        <f t="shared" si="3"/>
        <v>175829000</v>
      </c>
      <c r="K26" s="1026">
        <f t="shared" si="3"/>
        <v>186400000</v>
      </c>
    </row>
    <row r="27" spans="1:11" ht="11.25" customHeight="1" x14ac:dyDescent="0.25">
      <c r="A27" s="1433" t="str">
        <f>A12</f>
        <v>Community</v>
      </c>
      <c r="B27" s="274"/>
      <c r="C27" s="1063">
        <f>SA34b!C27</f>
        <v>0</v>
      </c>
      <c r="D27" s="1063">
        <f>SA34b!D27</f>
        <v>420398.99</v>
      </c>
      <c r="E27" s="1064">
        <f>SA34b!E27</f>
        <v>0</v>
      </c>
      <c r="F27" s="1065">
        <f>SA34b!F27</f>
        <v>10300000</v>
      </c>
      <c r="G27" s="1063">
        <f>SA34b!G27</f>
        <v>8300000</v>
      </c>
      <c r="H27" s="1066">
        <f>SA34b!H27</f>
        <v>8300000</v>
      </c>
      <c r="I27" s="1067">
        <f>SA34b!I27</f>
        <v>4500000</v>
      </c>
      <c r="J27" s="1063">
        <f>SA34b!J27</f>
        <v>2800000</v>
      </c>
      <c r="K27" s="1064">
        <f>SA34b!K27</f>
        <v>1200000</v>
      </c>
    </row>
    <row r="28" spans="1:11" ht="11.25" customHeight="1" x14ac:dyDescent="0.25">
      <c r="A28" s="1433" t="str">
        <f>A13</f>
        <v>Heritage assets</v>
      </c>
      <c r="B28" s="274"/>
      <c r="C28" s="1465">
        <f>SA34b!C43</f>
        <v>0</v>
      </c>
      <c r="D28" s="1465">
        <f>SA34b!D43</f>
        <v>0</v>
      </c>
      <c r="E28" s="1466">
        <f>SA34b!E43</f>
        <v>0</v>
      </c>
      <c r="F28" s="1467">
        <f>SA34b!F43</f>
        <v>0</v>
      </c>
      <c r="G28" s="1465">
        <f>SA34b!G43</f>
        <v>0</v>
      </c>
      <c r="H28" s="1468">
        <f>SA34b!H43</f>
        <v>0</v>
      </c>
      <c r="I28" s="1469">
        <f>SA34b!I43</f>
        <v>0</v>
      </c>
      <c r="J28" s="1465">
        <f>SA34b!J43</f>
        <v>0</v>
      </c>
      <c r="K28" s="1466">
        <f>SA34b!K43</f>
        <v>0</v>
      </c>
    </row>
    <row r="29" spans="1:11" ht="11.25" customHeight="1" x14ac:dyDescent="0.25">
      <c r="A29" s="1433" t="str">
        <f>A14</f>
        <v>Investment properties</v>
      </c>
      <c r="B29" s="274"/>
      <c r="C29" s="1063">
        <f>SA34b!C47</f>
        <v>0</v>
      </c>
      <c r="D29" s="1063">
        <f>SA34b!D47</f>
        <v>0</v>
      </c>
      <c r="E29" s="1064">
        <f>SA34b!E47</f>
        <v>0</v>
      </c>
      <c r="F29" s="1065">
        <f>SA34b!F47</f>
        <v>0</v>
      </c>
      <c r="G29" s="1063">
        <f>SA34b!G47</f>
        <v>0</v>
      </c>
      <c r="H29" s="1066">
        <f>SA34b!H47</f>
        <v>0</v>
      </c>
      <c r="I29" s="1067">
        <f>SA34b!I47</f>
        <v>0</v>
      </c>
      <c r="J29" s="1063">
        <f>SA34b!J47</f>
        <v>0</v>
      </c>
      <c r="K29" s="1064">
        <f>SA34b!K47</f>
        <v>0</v>
      </c>
    </row>
    <row r="30" spans="1:11" ht="11.25" customHeight="1" x14ac:dyDescent="0.25">
      <c r="A30" s="1433" t="str">
        <f>A15</f>
        <v>Other assets</v>
      </c>
      <c r="B30" s="182">
        <v>6</v>
      </c>
      <c r="C30" s="1063">
        <f>SA34b!C51</f>
        <v>0</v>
      </c>
      <c r="D30" s="1063">
        <f>SA34b!D51</f>
        <v>14782347.289999999</v>
      </c>
      <c r="E30" s="1064">
        <f>SA34b!E51</f>
        <v>0</v>
      </c>
      <c r="F30" s="1065">
        <f>SA34b!F51</f>
        <v>24860810</v>
      </c>
      <c r="G30" s="1063">
        <f>SA34b!G51</f>
        <v>22900810</v>
      </c>
      <c r="H30" s="1066">
        <f>SA34b!H51</f>
        <v>22900810</v>
      </c>
      <c r="I30" s="1067">
        <f>SA34b!I51</f>
        <v>14550000</v>
      </c>
      <c r="J30" s="1063">
        <f>SA34b!J51</f>
        <v>9300000</v>
      </c>
      <c r="K30" s="1064">
        <f>SA34b!K51</f>
        <v>2800000</v>
      </c>
    </row>
    <row r="31" spans="1:11" x14ac:dyDescent="0.25">
      <c r="A31" s="1543" t="s">
        <v>1529</v>
      </c>
      <c r="B31" s="557"/>
      <c r="C31" s="1063">
        <f>SA34b!C65</f>
        <v>0</v>
      </c>
      <c r="D31" s="1063">
        <f>SA34b!D65</f>
        <v>0</v>
      </c>
      <c r="E31" s="1064">
        <f>SA34b!E65</f>
        <v>0</v>
      </c>
      <c r="F31" s="1065">
        <f>SA34b!F65</f>
        <v>0</v>
      </c>
      <c r="G31" s="1063">
        <f>SA34b!G65</f>
        <v>0</v>
      </c>
      <c r="H31" s="1066">
        <f>SA34b!H65</f>
        <v>0</v>
      </c>
      <c r="I31" s="1067">
        <f>SA34b!I65</f>
        <v>0</v>
      </c>
      <c r="J31" s="1063">
        <f>SA34b!J65</f>
        <v>0</v>
      </c>
      <c r="K31" s="1064">
        <f>SA34b!K65</f>
        <v>0</v>
      </c>
    </row>
    <row r="32" spans="1:11" ht="11.25" customHeight="1" x14ac:dyDescent="0.25">
      <c r="A32" s="1433" t="str">
        <f>A17</f>
        <v>Biological assets</v>
      </c>
      <c r="B32" s="182"/>
      <c r="C32" s="1063">
        <f>SA34b!C69</f>
        <v>0</v>
      </c>
      <c r="D32" s="1063">
        <f>SA34b!D69</f>
        <v>0</v>
      </c>
      <c r="E32" s="1064">
        <f>SA34b!E69</f>
        <v>0</v>
      </c>
      <c r="F32" s="1065">
        <f>SA34b!F69</f>
        <v>0</v>
      </c>
      <c r="G32" s="1063">
        <f>SA34b!G69</f>
        <v>0</v>
      </c>
      <c r="H32" s="1066">
        <f>SA34b!H69</f>
        <v>0</v>
      </c>
      <c r="I32" s="1067">
        <f>SA34b!I69</f>
        <v>0</v>
      </c>
      <c r="J32" s="1063">
        <f>SA34b!J69</f>
        <v>0</v>
      </c>
      <c r="K32" s="1064">
        <f>SA34b!K69</f>
        <v>0</v>
      </c>
    </row>
    <row r="33" spans="1:11" ht="11.25" customHeight="1" x14ac:dyDescent="0.25">
      <c r="A33" s="1433" t="str">
        <f>A18</f>
        <v>Intangibles</v>
      </c>
      <c r="B33" s="182"/>
      <c r="C33" s="1142">
        <f>SA34b!C73</f>
        <v>0</v>
      </c>
      <c r="D33" s="1142">
        <f>SA34b!D73</f>
        <v>0</v>
      </c>
      <c r="E33" s="1143">
        <f>SA34b!E73</f>
        <v>0</v>
      </c>
      <c r="F33" s="1144">
        <f>SA34b!F73</f>
        <v>0</v>
      </c>
      <c r="G33" s="1142">
        <f>SA34b!G73</f>
        <v>0</v>
      </c>
      <c r="H33" s="1145">
        <f>SA34b!H73</f>
        <v>0</v>
      </c>
      <c r="I33" s="1146">
        <f>SA34b!I73</f>
        <v>0</v>
      </c>
      <c r="J33" s="1142">
        <f>SA34b!J73</f>
        <v>0</v>
      </c>
      <c r="K33" s="1143">
        <f>SA34b!K73</f>
        <v>0</v>
      </c>
    </row>
    <row r="34" spans="1:11" ht="5.15" customHeight="1" x14ac:dyDescent="0.25">
      <c r="A34" s="1434"/>
      <c r="B34" s="182"/>
      <c r="C34" s="207"/>
      <c r="D34" s="207"/>
      <c r="E34" s="264"/>
      <c r="F34" s="251"/>
      <c r="G34" s="207"/>
      <c r="H34" s="210"/>
      <c r="I34" s="211"/>
      <c r="J34" s="207"/>
      <c r="K34" s="264"/>
    </row>
    <row r="35" spans="1:11" ht="11.25" customHeight="1" x14ac:dyDescent="0.25">
      <c r="A35" s="1541" t="s">
        <v>600</v>
      </c>
      <c r="B35" s="182">
        <v>4</v>
      </c>
      <c r="C35" s="203"/>
      <c r="D35" s="203"/>
      <c r="E35" s="204"/>
      <c r="F35" s="205"/>
      <c r="G35" s="203"/>
      <c r="H35" s="202"/>
      <c r="I35" s="206"/>
      <c r="J35" s="203"/>
      <c r="K35" s="204"/>
    </row>
    <row r="36" spans="1:11" ht="11.25" customHeight="1" x14ac:dyDescent="0.25">
      <c r="A36" s="1542" t="s">
        <v>387</v>
      </c>
      <c r="B36" s="350"/>
      <c r="C36" s="207">
        <f>C6+C21</f>
        <v>58571294</v>
      </c>
      <c r="D36" s="207">
        <f t="shared" ref="D36:K36" si="4">D6+D21</f>
        <v>46382130</v>
      </c>
      <c r="E36" s="264">
        <f t="shared" si="4"/>
        <v>0</v>
      </c>
      <c r="F36" s="251">
        <f t="shared" si="4"/>
        <v>78747780</v>
      </c>
      <c r="G36" s="207">
        <f t="shared" si="4"/>
        <v>57314570</v>
      </c>
      <c r="H36" s="210">
        <f t="shared" si="4"/>
        <v>57314570</v>
      </c>
      <c r="I36" s="211">
        <f t="shared" si="4"/>
        <v>162026000</v>
      </c>
      <c r="J36" s="207">
        <f t="shared" si="4"/>
        <v>64120000</v>
      </c>
      <c r="K36" s="264">
        <f t="shared" si="4"/>
        <v>28400000</v>
      </c>
    </row>
    <row r="37" spans="1:11" ht="11.25" customHeight="1" x14ac:dyDescent="0.25">
      <c r="A37" s="1542" t="s">
        <v>750</v>
      </c>
      <c r="B37" s="350"/>
      <c r="C37" s="207">
        <f>C7+C22</f>
        <v>26358564</v>
      </c>
      <c r="D37" s="207">
        <f t="shared" ref="D37:K38" si="5">D7+D22</f>
        <v>16591554.620000001</v>
      </c>
      <c r="E37" s="264">
        <f t="shared" si="5"/>
        <v>0</v>
      </c>
      <c r="F37" s="251">
        <f t="shared" si="5"/>
        <v>9082960</v>
      </c>
      <c r="G37" s="207">
        <f t="shared" si="5"/>
        <v>92680023</v>
      </c>
      <c r="H37" s="210">
        <f t="shared" si="5"/>
        <v>92680023</v>
      </c>
      <c r="I37" s="211">
        <f t="shared" si="5"/>
        <v>181500000</v>
      </c>
      <c r="J37" s="207">
        <f t="shared" si="5"/>
        <v>54772000</v>
      </c>
      <c r="K37" s="264">
        <f t="shared" si="5"/>
        <v>42210000</v>
      </c>
    </row>
    <row r="38" spans="1:11" ht="11.25" customHeight="1" x14ac:dyDescent="0.25">
      <c r="A38" s="1542" t="s">
        <v>388</v>
      </c>
      <c r="B38" s="350"/>
      <c r="C38" s="207">
        <f>C8+C23</f>
        <v>44356925</v>
      </c>
      <c r="D38" s="207">
        <f t="shared" si="5"/>
        <v>12859968</v>
      </c>
      <c r="E38" s="264">
        <f t="shared" si="5"/>
        <v>0</v>
      </c>
      <c r="F38" s="251">
        <f t="shared" si="5"/>
        <v>43169450</v>
      </c>
      <c r="G38" s="207">
        <f t="shared" si="5"/>
        <v>45169450</v>
      </c>
      <c r="H38" s="210">
        <f t="shared" si="5"/>
        <v>45169450</v>
      </c>
      <c r="I38" s="211">
        <f t="shared" si="5"/>
        <v>27925000</v>
      </c>
      <c r="J38" s="207">
        <f t="shared" si="5"/>
        <v>48879000</v>
      </c>
      <c r="K38" s="264">
        <f t="shared" si="5"/>
        <v>73490000</v>
      </c>
    </row>
    <row r="39" spans="1:11" ht="11.25" customHeight="1" x14ac:dyDescent="0.25">
      <c r="A39" s="1542" t="s">
        <v>389</v>
      </c>
      <c r="B39" s="350"/>
      <c r="C39" s="207">
        <f>C9+C24</f>
        <v>37413000</v>
      </c>
      <c r="D39" s="207">
        <f t="shared" ref="D39:K39" si="6">D9+D24</f>
        <v>15490822.120000001</v>
      </c>
      <c r="E39" s="264">
        <f>E9+E24</f>
        <v>0</v>
      </c>
      <c r="F39" s="251">
        <f t="shared" si="6"/>
        <v>26200000</v>
      </c>
      <c r="G39" s="207">
        <f t="shared" si="6"/>
        <v>26200000</v>
      </c>
      <c r="H39" s="210">
        <f t="shared" si="6"/>
        <v>26200000</v>
      </c>
      <c r="I39" s="211">
        <f t="shared" si="6"/>
        <v>46796555</v>
      </c>
      <c r="J39" s="207">
        <f t="shared" si="6"/>
        <v>44200000</v>
      </c>
      <c r="K39" s="264">
        <f t="shared" si="6"/>
        <v>63000000</v>
      </c>
    </row>
    <row r="40" spans="1:11" ht="11.25" customHeight="1" x14ac:dyDescent="0.25">
      <c r="A40" s="1542" t="s">
        <v>689</v>
      </c>
      <c r="B40" s="350"/>
      <c r="C40" s="207">
        <f t="shared" ref="C40:K40" si="7">C10+C25</f>
        <v>55604151</v>
      </c>
      <c r="D40" s="207">
        <f t="shared" si="7"/>
        <v>471058.78</v>
      </c>
      <c r="E40" s="264">
        <f t="shared" si="7"/>
        <v>0</v>
      </c>
      <c r="F40" s="251">
        <f t="shared" si="7"/>
        <v>17053000</v>
      </c>
      <c r="G40" s="207">
        <f t="shared" si="7"/>
        <v>17053000</v>
      </c>
      <c r="H40" s="210">
        <f t="shared" si="7"/>
        <v>17053000</v>
      </c>
      <c r="I40" s="211">
        <f t="shared" si="7"/>
        <v>8090850</v>
      </c>
      <c r="J40" s="207">
        <f t="shared" si="7"/>
        <v>7500000</v>
      </c>
      <c r="K40" s="264">
        <f t="shared" si="7"/>
        <v>7500000</v>
      </c>
    </row>
    <row r="41" spans="1:11" ht="11.25" customHeight="1" x14ac:dyDescent="0.25">
      <c r="A41" s="1432" t="str">
        <f>$A$11</f>
        <v>Infrastructure</v>
      </c>
      <c r="B41" s="350"/>
      <c r="C41" s="1025">
        <f>SUM(C36:C40)</f>
        <v>222303934</v>
      </c>
      <c r="D41" s="1025">
        <f t="shared" ref="D41:K41" si="8">SUM(D36:D40)</f>
        <v>91795533.520000011</v>
      </c>
      <c r="E41" s="1026">
        <f t="shared" si="8"/>
        <v>0</v>
      </c>
      <c r="F41" s="1027">
        <f t="shared" si="8"/>
        <v>174253190</v>
      </c>
      <c r="G41" s="1025">
        <f t="shared" si="8"/>
        <v>238417043</v>
      </c>
      <c r="H41" s="1028">
        <f t="shared" si="8"/>
        <v>238417043</v>
      </c>
      <c r="I41" s="1029">
        <f t="shared" si="8"/>
        <v>426338405</v>
      </c>
      <c r="J41" s="1025">
        <f t="shared" si="8"/>
        <v>219471000</v>
      </c>
      <c r="K41" s="1026">
        <f t="shared" si="8"/>
        <v>214600000</v>
      </c>
    </row>
    <row r="42" spans="1:11" ht="11.25" customHeight="1" x14ac:dyDescent="0.25">
      <c r="A42" s="1433" t="str">
        <f>SA34a!A27</f>
        <v>Community</v>
      </c>
      <c r="B42" s="182"/>
      <c r="C42" s="207">
        <f t="shared" ref="C42:C48" si="9">C12+C27</f>
        <v>33174849</v>
      </c>
      <c r="D42" s="207">
        <f t="shared" ref="D42:K42" si="10">D12+D27</f>
        <v>500398.99</v>
      </c>
      <c r="E42" s="204">
        <f t="shared" si="10"/>
        <v>0</v>
      </c>
      <c r="F42" s="205">
        <f t="shared" si="10"/>
        <v>30900000</v>
      </c>
      <c r="G42" s="203">
        <f t="shared" si="10"/>
        <v>44369137</v>
      </c>
      <c r="H42" s="202">
        <f t="shared" si="10"/>
        <v>44369137</v>
      </c>
      <c r="I42" s="206">
        <f t="shared" si="10"/>
        <v>4500000</v>
      </c>
      <c r="J42" s="203">
        <f t="shared" si="10"/>
        <v>2800000</v>
      </c>
      <c r="K42" s="204">
        <f t="shared" si="10"/>
        <v>1200000</v>
      </c>
    </row>
    <row r="43" spans="1:11" ht="11.25" customHeight="1" x14ac:dyDescent="0.25">
      <c r="A43" s="1433" t="str">
        <f>SA34a!A43</f>
        <v>Heritage assets</v>
      </c>
      <c r="B43" s="182"/>
      <c r="C43" s="256">
        <f t="shared" si="9"/>
        <v>5710667</v>
      </c>
      <c r="D43" s="256">
        <f t="shared" ref="D43:K43" si="11">D13+D28</f>
        <v>0</v>
      </c>
      <c r="E43" s="257">
        <f t="shared" si="11"/>
        <v>0</v>
      </c>
      <c r="F43" s="296">
        <f t="shared" si="11"/>
        <v>0</v>
      </c>
      <c r="G43" s="259">
        <f t="shared" si="11"/>
        <v>0</v>
      </c>
      <c r="H43" s="255">
        <f t="shared" si="11"/>
        <v>0</v>
      </c>
      <c r="I43" s="260">
        <f t="shared" si="11"/>
        <v>0</v>
      </c>
      <c r="J43" s="259">
        <f t="shared" si="11"/>
        <v>0</v>
      </c>
      <c r="K43" s="257">
        <f t="shared" si="11"/>
        <v>0</v>
      </c>
    </row>
    <row r="44" spans="1:11" ht="11.25" customHeight="1" x14ac:dyDescent="0.25">
      <c r="A44" s="1433" t="str">
        <f>SA34a!A47</f>
        <v>Investment properties</v>
      </c>
      <c r="B44" s="182"/>
      <c r="C44" s="207">
        <f t="shared" si="9"/>
        <v>0</v>
      </c>
      <c r="D44" s="207">
        <f t="shared" ref="D44:K44" si="12">D14+D29</f>
        <v>0</v>
      </c>
      <c r="E44" s="204">
        <f t="shared" si="12"/>
        <v>0</v>
      </c>
      <c r="F44" s="205">
        <f t="shared" si="12"/>
        <v>0</v>
      </c>
      <c r="G44" s="203">
        <f t="shared" si="12"/>
        <v>0</v>
      </c>
      <c r="H44" s="202">
        <f t="shared" si="12"/>
        <v>0</v>
      </c>
      <c r="I44" s="206">
        <f t="shared" si="12"/>
        <v>0</v>
      </c>
      <c r="J44" s="203">
        <f t="shared" si="12"/>
        <v>0</v>
      </c>
      <c r="K44" s="204">
        <f t="shared" si="12"/>
        <v>0</v>
      </c>
    </row>
    <row r="45" spans="1:11" ht="11.25" customHeight="1" x14ac:dyDescent="0.25">
      <c r="A45" s="1433" t="str">
        <f>SA34a!A51</f>
        <v>Other assets</v>
      </c>
      <c r="B45" s="182"/>
      <c r="C45" s="207">
        <f t="shared" si="9"/>
        <v>10653670</v>
      </c>
      <c r="D45" s="207">
        <f t="shared" ref="D45:K45" si="13">D15+D30</f>
        <v>18852819.919999998</v>
      </c>
      <c r="E45" s="204">
        <f t="shared" si="13"/>
        <v>0</v>
      </c>
      <c r="F45" s="205">
        <f t="shared" si="13"/>
        <v>24860810</v>
      </c>
      <c r="G45" s="203">
        <f t="shared" si="13"/>
        <v>26969570</v>
      </c>
      <c r="H45" s="202">
        <f t="shared" si="13"/>
        <v>26969570</v>
      </c>
      <c r="I45" s="206">
        <f t="shared" si="13"/>
        <v>44820000</v>
      </c>
      <c r="J45" s="203">
        <f t="shared" si="13"/>
        <v>32000000</v>
      </c>
      <c r="K45" s="204">
        <f t="shared" si="13"/>
        <v>26590000</v>
      </c>
    </row>
    <row r="46" spans="1:11" x14ac:dyDescent="0.25">
      <c r="A46" s="1543" t="s">
        <v>1529</v>
      </c>
      <c r="B46" s="182"/>
      <c r="C46" s="207">
        <f t="shared" si="9"/>
        <v>0</v>
      </c>
      <c r="D46" s="207">
        <f t="shared" ref="D46:K46" si="14">D16+D31</f>
        <v>0</v>
      </c>
      <c r="E46" s="204">
        <f t="shared" si="14"/>
        <v>0</v>
      </c>
      <c r="F46" s="205">
        <f t="shared" si="14"/>
        <v>0</v>
      </c>
      <c r="G46" s="203">
        <f t="shared" si="14"/>
        <v>0</v>
      </c>
      <c r="H46" s="202">
        <f t="shared" si="14"/>
        <v>0</v>
      </c>
      <c r="I46" s="206">
        <f t="shared" si="14"/>
        <v>0</v>
      </c>
      <c r="J46" s="203">
        <f t="shared" si="14"/>
        <v>0</v>
      </c>
      <c r="K46" s="204">
        <f t="shared" si="14"/>
        <v>0</v>
      </c>
    </row>
    <row r="47" spans="1:11" ht="11.25" customHeight="1" x14ac:dyDescent="0.25">
      <c r="A47" s="1433" t="str">
        <f>A32</f>
        <v>Biological assets</v>
      </c>
      <c r="B47" s="182"/>
      <c r="C47" s="207">
        <f t="shared" si="9"/>
        <v>0</v>
      </c>
      <c r="D47" s="207">
        <f t="shared" ref="D47:K47" si="15">D17+D32</f>
        <v>0</v>
      </c>
      <c r="E47" s="204">
        <f t="shared" si="15"/>
        <v>0</v>
      </c>
      <c r="F47" s="205">
        <f t="shared" si="15"/>
        <v>0</v>
      </c>
      <c r="G47" s="203">
        <f t="shared" si="15"/>
        <v>0</v>
      </c>
      <c r="H47" s="202">
        <f t="shared" si="15"/>
        <v>0</v>
      </c>
      <c r="I47" s="206">
        <f t="shared" si="15"/>
        <v>0</v>
      </c>
      <c r="J47" s="203">
        <f t="shared" si="15"/>
        <v>0</v>
      </c>
      <c r="K47" s="204">
        <f t="shared" si="15"/>
        <v>0</v>
      </c>
    </row>
    <row r="48" spans="1:11" ht="11.25" customHeight="1" x14ac:dyDescent="0.25">
      <c r="A48" s="1433" t="str">
        <f>A33</f>
        <v>Intangibles</v>
      </c>
      <c r="B48" s="182"/>
      <c r="C48" s="207">
        <f t="shared" si="9"/>
        <v>0</v>
      </c>
      <c r="D48" s="207">
        <f t="shared" ref="D48:K48" si="16">D18+D33</f>
        <v>0</v>
      </c>
      <c r="E48" s="204">
        <f t="shared" si="16"/>
        <v>0</v>
      </c>
      <c r="F48" s="205">
        <f t="shared" si="16"/>
        <v>0</v>
      </c>
      <c r="G48" s="203">
        <f t="shared" si="16"/>
        <v>0</v>
      </c>
      <c r="H48" s="202">
        <f t="shared" si="16"/>
        <v>0</v>
      </c>
      <c r="I48" s="206">
        <f t="shared" si="16"/>
        <v>0</v>
      </c>
      <c r="J48" s="203">
        <f t="shared" si="16"/>
        <v>0</v>
      </c>
      <c r="K48" s="204">
        <f t="shared" si="16"/>
        <v>0</v>
      </c>
    </row>
    <row r="49" spans="1:11" x14ac:dyDescent="0.25">
      <c r="A49" s="1544" t="s">
        <v>1419</v>
      </c>
      <c r="B49" s="225">
        <v>2</v>
      </c>
      <c r="C49" s="230">
        <f t="shared" ref="C49:K49" si="17">SUM(C41:C48)</f>
        <v>271843120</v>
      </c>
      <c r="D49" s="230">
        <f t="shared" si="17"/>
        <v>111148752.43000001</v>
      </c>
      <c r="E49" s="228">
        <f t="shared" si="17"/>
        <v>0</v>
      </c>
      <c r="F49" s="229">
        <f t="shared" si="17"/>
        <v>230014000</v>
      </c>
      <c r="G49" s="230">
        <f t="shared" si="17"/>
        <v>309755750</v>
      </c>
      <c r="H49" s="231">
        <f t="shared" si="17"/>
        <v>309755750</v>
      </c>
      <c r="I49" s="232">
        <f t="shared" si="17"/>
        <v>475658405</v>
      </c>
      <c r="J49" s="230">
        <f t="shared" si="17"/>
        <v>254271000</v>
      </c>
      <c r="K49" s="228">
        <f t="shared" si="17"/>
        <v>242390000</v>
      </c>
    </row>
    <row r="50" spans="1:11" ht="5.15" customHeight="1" x14ac:dyDescent="0.25">
      <c r="A50" s="250"/>
      <c r="B50" s="182"/>
      <c r="C50" s="203"/>
      <c r="D50" s="203"/>
      <c r="E50" s="204"/>
      <c r="F50" s="205"/>
      <c r="G50" s="203"/>
      <c r="H50" s="202"/>
      <c r="I50" s="206"/>
      <c r="J50" s="203"/>
      <c r="K50" s="204"/>
    </row>
    <row r="51" spans="1:11" ht="11.25" customHeight="1" x14ac:dyDescent="0.25">
      <c r="A51" s="326" t="s">
        <v>1423</v>
      </c>
      <c r="B51" s="182">
        <v>5</v>
      </c>
      <c r="C51" s="203"/>
      <c r="D51" s="203"/>
      <c r="E51" s="204"/>
      <c r="F51" s="205"/>
      <c r="G51" s="203"/>
      <c r="H51" s="202"/>
      <c r="I51" s="206"/>
      <c r="J51" s="203"/>
      <c r="K51" s="204"/>
    </row>
    <row r="52" spans="1:11" ht="11.25" customHeight="1" x14ac:dyDescent="0.25">
      <c r="A52" s="1471" t="s">
        <v>387</v>
      </c>
      <c r="B52" s="350"/>
      <c r="C52" s="1614">
        <f>1727921397+4801926</f>
        <v>1732723323</v>
      </c>
      <c r="D52" s="1614">
        <f>1791184093+677204</f>
        <v>1791861297</v>
      </c>
      <c r="E52" s="1635">
        <f>1798046784+754260</f>
        <v>1798801044</v>
      </c>
      <c r="F52" s="1618">
        <f>1847165990+62781174</f>
        <v>1909947164</v>
      </c>
      <c r="G52" s="1618">
        <f>1837629499.75+1584927903</f>
        <v>3422557402.75</v>
      </c>
      <c r="H52" s="1618">
        <f>1837629499.75+1584927903</f>
        <v>3422557402.75</v>
      </c>
      <c r="I52" s="1614">
        <f>1867648009.64-63995160</f>
        <v>1803652849.6400001</v>
      </c>
      <c r="J52" s="1634">
        <f>1829846665.54-14093084</f>
        <v>1815753581.54</v>
      </c>
      <c r="K52" s="1634">
        <f>1746283187.03+288360470</f>
        <v>2034643657.03</v>
      </c>
    </row>
    <row r="53" spans="1:11" ht="11.25" customHeight="1" x14ac:dyDescent="0.25">
      <c r="A53" s="1471" t="s">
        <v>750</v>
      </c>
      <c r="B53" s="350"/>
      <c r="C53" s="1614">
        <v>1339526405</v>
      </c>
      <c r="D53" s="1614">
        <v>1227313797</v>
      </c>
      <c r="E53" s="1635">
        <v>1227562140</v>
      </c>
      <c r="F53" s="1618">
        <v>1279036534.6099999</v>
      </c>
      <c r="G53" s="1618">
        <v>1295791978</v>
      </c>
      <c r="H53" s="1618">
        <v>1295791978</v>
      </c>
      <c r="I53" s="1614">
        <v>1433474366.6300001</v>
      </c>
      <c r="J53" s="1634">
        <v>1456283164.9100001</v>
      </c>
      <c r="K53" s="1634">
        <v>1458273643.02</v>
      </c>
    </row>
    <row r="54" spans="1:11" ht="11.25" customHeight="1" x14ac:dyDescent="0.25">
      <c r="A54" s="1471" t="s">
        <v>388</v>
      </c>
      <c r="B54" s="350"/>
      <c r="C54" s="1614">
        <v>838634281</v>
      </c>
      <c r="D54" s="1614">
        <v>900288494</v>
      </c>
      <c r="E54" s="1635">
        <v>909907278</v>
      </c>
      <c r="F54" s="1618">
        <v>935918767.54999995</v>
      </c>
      <c r="G54" s="1618">
        <v>908017492.84000003</v>
      </c>
      <c r="H54" s="1618">
        <v>908017492.84000003</v>
      </c>
      <c r="I54" s="1614">
        <v>944422983.58000004</v>
      </c>
      <c r="J54" s="1634">
        <v>973994564.17999995</v>
      </c>
      <c r="K54" s="1634">
        <v>1026596402.84</v>
      </c>
    </row>
    <row r="55" spans="1:11" ht="11.25" customHeight="1" x14ac:dyDescent="0.25">
      <c r="A55" s="1471" t="s">
        <v>389</v>
      </c>
      <c r="B55" s="350"/>
      <c r="C55" s="1614">
        <v>488306995</v>
      </c>
      <c r="D55" s="1614">
        <v>545536000</v>
      </c>
      <c r="E55" s="1635">
        <v>571448819</v>
      </c>
      <c r="F55" s="1618">
        <v>610702956.61000001</v>
      </c>
      <c r="G55" s="1618">
        <v>581743471.69000006</v>
      </c>
      <c r="H55" s="1618">
        <v>581743471.69000006</v>
      </c>
      <c r="I55" s="1614">
        <v>619163655.54999995</v>
      </c>
      <c r="J55" s="1634">
        <v>648547915.08000004</v>
      </c>
      <c r="K55" s="1634">
        <v>695210600.57000005</v>
      </c>
    </row>
    <row r="56" spans="1:11" ht="11.25" customHeight="1" x14ac:dyDescent="0.25">
      <c r="A56" s="1471" t="s">
        <v>689</v>
      </c>
      <c r="B56" s="350"/>
      <c r="C56" s="1614">
        <f>3415438+461858222+900050+4584532</f>
        <v>470758242</v>
      </c>
      <c r="D56" s="1614">
        <f>10843013+498943937+1977329+4692343</f>
        <v>516456622</v>
      </c>
      <c r="E56" s="1635">
        <f>8668424+486873442+1874937+4502601</f>
        <v>501919404</v>
      </c>
      <c r="F56" s="1618">
        <f>484990520.25-0.08</f>
        <v>484990520.17000002</v>
      </c>
      <c r="G56" s="1618">
        <f>500723571.5+0.22</f>
        <v>500723571.72000003</v>
      </c>
      <c r="H56" s="1618">
        <f>500723571.5+0.22</f>
        <v>500723571.72000003</v>
      </c>
      <c r="I56" s="1614">
        <v>507203782.39999998</v>
      </c>
      <c r="J56" s="1634">
        <v>506999485.10000002</v>
      </c>
      <c r="K56" s="1634">
        <v>506795187.80000001</v>
      </c>
    </row>
    <row r="57" spans="1:11" ht="11.25" customHeight="1" x14ac:dyDescent="0.25">
      <c r="A57" s="254" t="str">
        <f>A41</f>
        <v>Infrastructure</v>
      </c>
      <c r="B57" s="350"/>
      <c r="C57" s="1292">
        <f>SUM(C52:C56)</f>
        <v>4869949246</v>
      </c>
      <c r="D57" s="1292">
        <f t="shared" ref="D57:K57" si="18">SUM(D52:D56)</f>
        <v>4981456210</v>
      </c>
      <c r="E57" s="1293">
        <f t="shared" si="18"/>
        <v>5009638685</v>
      </c>
      <c r="F57" s="1294">
        <f t="shared" si="18"/>
        <v>5220595942.9399996</v>
      </c>
      <c r="G57" s="1292">
        <f t="shared" si="18"/>
        <v>6708833917.000001</v>
      </c>
      <c r="H57" s="1295">
        <f t="shared" si="18"/>
        <v>6708833917.000001</v>
      </c>
      <c r="I57" s="1296">
        <f t="shared" si="18"/>
        <v>5307917637.8000002</v>
      </c>
      <c r="J57" s="1292">
        <f t="shared" si="18"/>
        <v>5401578710.8100004</v>
      </c>
      <c r="K57" s="1293">
        <f t="shared" si="18"/>
        <v>5721519491.2600002</v>
      </c>
    </row>
    <row r="58" spans="1:11" ht="11.25" customHeight="1" x14ac:dyDescent="0.25">
      <c r="A58" s="250" t="str">
        <f>A12</f>
        <v>Community</v>
      </c>
      <c r="B58" s="182"/>
      <c r="C58" s="1614">
        <v>528327036</v>
      </c>
      <c r="D58" s="1614">
        <v>498058550</v>
      </c>
      <c r="E58" s="1635">
        <v>468969684</v>
      </c>
      <c r="F58" s="1635">
        <v>573750723.95821285</v>
      </c>
      <c r="G58" s="1614"/>
      <c r="H58" s="1636"/>
      <c r="I58" s="1616">
        <v>415343273.92000002</v>
      </c>
      <c r="J58" s="1614">
        <v>372106061.44999999</v>
      </c>
      <c r="K58" s="1634">
        <v>321765127.74000001</v>
      </c>
    </row>
    <row r="59" spans="1:11" ht="11.25" customHeight="1" x14ac:dyDescent="0.25">
      <c r="A59" s="250" t="str">
        <f>A13</f>
        <v>Heritage assets</v>
      </c>
      <c r="B59" s="182"/>
      <c r="C59" s="1637">
        <v>0</v>
      </c>
      <c r="D59" s="1637">
        <v>0</v>
      </c>
      <c r="E59" s="1638">
        <v>0</v>
      </c>
      <c r="F59" s="1639"/>
      <c r="G59" s="1637"/>
      <c r="H59" s="1640"/>
      <c r="I59" s="1641"/>
      <c r="J59" s="1637"/>
      <c r="K59" s="1638"/>
    </row>
    <row r="60" spans="1:11" ht="11.25" customHeight="1" x14ac:dyDescent="0.25">
      <c r="A60" s="250" t="str">
        <f>A14</f>
        <v>Investment properties</v>
      </c>
      <c r="B60" s="182"/>
      <c r="C60" s="1063">
        <f>'A6-FinPos'!C17</f>
        <v>534167000</v>
      </c>
      <c r="D60" s="1063">
        <f>'A6-FinPos'!D17</f>
        <v>405306365</v>
      </c>
      <c r="E60" s="1064">
        <f>'A6-FinPos'!E17</f>
        <v>381011346</v>
      </c>
      <c r="F60" s="1065">
        <f>'A6-FinPos'!F17</f>
        <v>405306000</v>
      </c>
      <c r="G60" s="1063">
        <f>'A6-FinPos'!G17</f>
        <v>405306000</v>
      </c>
      <c r="H60" s="1066">
        <f>'A6-FinPos'!H17</f>
        <v>405306000</v>
      </c>
      <c r="I60" s="1067">
        <f>'A6-FinPos'!J17</f>
        <v>405306000</v>
      </c>
      <c r="J60" s="1063">
        <f>'A6-FinPos'!K17</f>
        <v>405306000</v>
      </c>
      <c r="K60" s="1064">
        <f>'A6-FinPos'!L17</f>
        <v>405306000</v>
      </c>
    </row>
    <row r="61" spans="1:11" ht="11.25" customHeight="1" x14ac:dyDescent="0.25">
      <c r="A61" s="250" t="str">
        <f>A15</f>
        <v>Other assets</v>
      </c>
      <c r="B61" s="182"/>
      <c r="C61" s="1614">
        <f>180703003+215098294+365557326+10747222+11786983+2126096+845528+2203465+32472619+1990503</f>
        <v>823531039</v>
      </c>
      <c r="D61" s="1614">
        <f>302893891+19178293+19113989+15369586+703747+5314565+67595148+2094069+274319488+211620675</f>
        <v>918203451</v>
      </c>
      <c r="E61" s="1635">
        <f>285008044+17037422+11556942+11034056+554338+4527122+68780452+2138306+277888488+204615858</f>
        <v>883141028</v>
      </c>
      <c r="F61" s="1635">
        <v>914487250.09924364</v>
      </c>
      <c r="G61" s="1614"/>
      <c r="H61" s="1636"/>
      <c r="I61" s="1616">
        <f>781057253.11+0.33</f>
        <v>781057253.44000006</v>
      </c>
      <c r="J61" s="1614">
        <f>705461228.14-0.4</f>
        <v>705461227.74000001</v>
      </c>
      <c r="K61" s="1634">
        <v>618445600</v>
      </c>
    </row>
    <row r="62" spans="1:11" x14ac:dyDescent="0.25">
      <c r="A62" s="190" t="s">
        <v>1529</v>
      </c>
      <c r="B62" s="182"/>
      <c r="C62" s="1063">
        <f>'A6-FinPos'!C20</f>
        <v>0</v>
      </c>
      <c r="D62" s="1063">
        <f>'A6-FinPos'!D20</f>
        <v>0</v>
      </c>
      <c r="E62" s="1064">
        <f>'A6-FinPos'!E20</f>
        <v>0</v>
      </c>
      <c r="F62" s="1065">
        <f>'A6-FinPos'!F20</f>
        <v>0</v>
      </c>
      <c r="G62" s="1063">
        <f>'A6-FinPos'!G20</f>
        <v>0</v>
      </c>
      <c r="H62" s="1066">
        <f>'A6-FinPos'!H20</f>
        <v>0</v>
      </c>
      <c r="I62" s="1067">
        <f>'A6-FinPos'!J20</f>
        <v>0</v>
      </c>
      <c r="J62" s="1063">
        <f>'A6-FinPos'!K20</f>
        <v>0</v>
      </c>
      <c r="K62" s="1064">
        <f>'A6-FinPos'!L20</f>
        <v>0</v>
      </c>
    </row>
    <row r="63" spans="1:11" ht="11.25" customHeight="1" x14ac:dyDescent="0.25">
      <c r="A63" s="250" t="str">
        <f>A17</f>
        <v>Biological assets</v>
      </c>
      <c r="B63" s="182"/>
      <c r="C63" s="1063">
        <f>'A6-FinPos'!C21</f>
        <v>0</v>
      </c>
      <c r="D63" s="1063">
        <f>'A6-FinPos'!D21</f>
        <v>0</v>
      </c>
      <c r="E63" s="1064">
        <f>'A6-FinPos'!E21</f>
        <v>0</v>
      </c>
      <c r="F63" s="1065">
        <f>'A6-FinPos'!F21</f>
        <v>542558</v>
      </c>
      <c r="G63" s="1063">
        <f>'A6-FinPos'!G21</f>
        <v>543000</v>
      </c>
      <c r="H63" s="1066">
        <f>'A6-FinPos'!H21</f>
        <v>543000</v>
      </c>
      <c r="I63" s="1067">
        <f>'A6-FinPos'!J21</f>
        <v>543000</v>
      </c>
      <c r="J63" s="1063">
        <f>'A6-FinPos'!K21</f>
        <v>543000</v>
      </c>
      <c r="K63" s="1064">
        <f>'A6-FinPos'!L21</f>
        <v>0</v>
      </c>
    </row>
    <row r="64" spans="1:11" ht="11.25" customHeight="1" x14ac:dyDescent="0.25">
      <c r="A64" s="250" t="str">
        <f>A18</f>
        <v>Intangibles</v>
      </c>
      <c r="B64" s="182"/>
      <c r="C64" s="1063">
        <f>'A6-FinPos'!C22</f>
        <v>6465000</v>
      </c>
      <c r="D64" s="1063">
        <f>'A6-FinPos'!D22</f>
        <v>7282522</v>
      </c>
      <c r="E64" s="1064">
        <f>'A6-FinPos'!E22</f>
        <v>3458562</v>
      </c>
      <c r="F64" s="1065">
        <f>'A6-FinPos'!F22</f>
        <v>7282522</v>
      </c>
      <c r="G64" s="1063">
        <f>'A6-FinPos'!G22</f>
        <v>7282522</v>
      </c>
      <c r="H64" s="1066">
        <f>'A6-FinPos'!H22</f>
        <v>7282522</v>
      </c>
      <c r="I64" s="1067">
        <f>'A6-FinPos'!J22</f>
        <v>5088167</v>
      </c>
      <c r="J64" s="1063">
        <f>'A6-FinPos'!K22</f>
        <v>2889812</v>
      </c>
      <c r="K64" s="1064">
        <f>'A6-FinPos'!L22</f>
        <v>7282000</v>
      </c>
    </row>
    <row r="65" spans="1:11" ht="11.25" customHeight="1" x14ac:dyDescent="0.25">
      <c r="A65" s="1544" t="s">
        <v>1424</v>
      </c>
      <c r="B65" s="225">
        <v>5</v>
      </c>
      <c r="C65" s="230">
        <f t="shared" ref="C65:K65" si="19">SUM(C57:C64)</f>
        <v>6762439321</v>
      </c>
      <c r="D65" s="230">
        <f t="shared" si="19"/>
        <v>6810307098</v>
      </c>
      <c r="E65" s="228">
        <f t="shared" si="19"/>
        <v>6746219305</v>
      </c>
      <c r="F65" s="229">
        <f t="shared" si="19"/>
        <v>7121964996.9974556</v>
      </c>
      <c r="G65" s="230">
        <f t="shared" si="19"/>
        <v>7121965439.000001</v>
      </c>
      <c r="H65" s="231">
        <f t="shared" si="19"/>
        <v>7121965439.000001</v>
      </c>
      <c r="I65" s="354">
        <f t="shared" si="19"/>
        <v>6915255332.1599998</v>
      </c>
      <c r="J65" s="230">
        <f t="shared" si="19"/>
        <v>6887884812</v>
      </c>
      <c r="K65" s="228">
        <f t="shared" si="19"/>
        <v>7074318219</v>
      </c>
    </row>
    <row r="66" spans="1:11" ht="5.15" customHeight="1" x14ac:dyDescent="0.25">
      <c r="A66" s="250"/>
      <c r="B66" s="182"/>
      <c r="C66" s="203"/>
      <c r="D66" s="203"/>
      <c r="E66" s="204"/>
      <c r="F66" s="205"/>
      <c r="G66" s="203"/>
      <c r="H66" s="202"/>
      <c r="I66" s="206"/>
      <c r="J66" s="203"/>
      <c r="K66" s="204"/>
    </row>
    <row r="67" spans="1:11" ht="11.25" customHeight="1" x14ac:dyDescent="0.25">
      <c r="A67" s="372" t="s">
        <v>1420</v>
      </c>
      <c r="B67" s="182"/>
      <c r="C67" s="218"/>
      <c r="D67" s="218"/>
      <c r="E67" s="219"/>
      <c r="F67" s="220"/>
      <c r="G67" s="218"/>
      <c r="H67" s="217"/>
      <c r="I67" s="221"/>
      <c r="J67" s="218"/>
      <c r="K67" s="219"/>
    </row>
    <row r="68" spans="1:11" ht="11.25" customHeight="1" x14ac:dyDescent="0.25">
      <c r="A68" s="1302" t="str">
        <f>'A4-FinPerf RE'!A28</f>
        <v>Depreciation &amp; asset impairment</v>
      </c>
      <c r="B68" s="182"/>
      <c r="C68" s="203">
        <f>'A4-FinPerf RE'!C28</f>
        <v>124066562</v>
      </c>
      <c r="D68" s="203">
        <f>'A4-FinPerf RE'!D28</f>
        <v>253513339</v>
      </c>
      <c r="E68" s="204">
        <f>'A4-FinPerf RE'!E28</f>
        <v>273650196</v>
      </c>
      <c r="F68" s="205">
        <f>'A4-FinPerf RE'!F28</f>
        <v>158000000</v>
      </c>
      <c r="G68" s="203">
        <f>'A4-FinPerf RE'!G28</f>
        <v>158000000</v>
      </c>
      <c r="H68" s="202">
        <f>'A4-FinPerf RE'!H28</f>
        <v>158000000</v>
      </c>
      <c r="I68" s="206">
        <f>'A4-FinPerf RE'!J28</f>
        <v>189600000</v>
      </c>
      <c r="J68" s="203">
        <f>'A4-FinPerf RE'!K28</f>
        <v>227520000</v>
      </c>
      <c r="K68" s="204">
        <f>'A4-FinPerf RE'!L28</f>
        <v>273024000</v>
      </c>
    </row>
    <row r="69" spans="1:11" ht="11.25" customHeight="1" x14ac:dyDescent="0.25">
      <c r="A69" s="1302" t="s">
        <v>390</v>
      </c>
      <c r="B69" s="182">
        <v>3</v>
      </c>
      <c r="C69" s="203">
        <f>SUM(C75:C79)</f>
        <v>118193522</v>
      </c>
      <c r="D69" s="203">
        <f t="shared" ref="D69:K69" si="20">SUM(D75:D79)</f>
        <v>65647837</v>
      </c>
      <c r="E69" s="204">
        <f t="shared" si="20"/>
        <v>39509687</v>
      </c>
      <c r="F69" s="205">
        <f t="shared" si="20"/>
        <v>89185350</v>
      </c>
      <c r="G69" s="203">
        <f t="shared" si="20"/>
        <v>89288289</v>
      </c>
      <c r="H69" s="202">
        <f t="shared" si="20"/>
        <v>89288472</v>
      </c>
      <c r="I69" s="206">
        <f t="shared" si="20"/>
        <v>95313927</v>
      </c>
      <c r="J69" s="203">
        <f t="shared" si="20"/>
        <v>99642784</v>
      </c>
      <c r="K69" s="204">
        <f t="shared" si="20"/>
        <v>130802463</v>
      </c>
    </row>
    <row r="70" spans="1:11" ht="11.25" customHeight="1" x14ac:dyDescent="0.25">
      <c r="A70" s="1471" t="s">
        <v>387</v>
      </c>
      <c r="B70" s="350"/>
      <c r="C70" s="1063">
        <f>SA34c!C7</f>
        <v>32918500</v>
      </c>
      <c r="D70" s="1063">
        <f>SA34c!D7</f>
        <v>1595561</v>
      </c>
      <c r="E70" s="1064">
        <f>SA34c!E7</f>
        <v>3391976</v>
      </c>
      <c r="F70" s="1065">
        <f>SA34c!F7</f>
        <v>5360722</v>
      </c>
      <c r="G70" s="1063">
        <f>SA34c!G7</f>
        <v>5361000</v>
      </c>
      <c r="H70" s="1066">
        <f>SA34c!H7</f>
        <v>5360722</v>
      </c>
      <c r="I70" s="1067">
        <f>SA34c!I7</f>
        <v>3713739</v>
      </c>
      <c r="J70" s="1063">
        <f>SA34c!J7</f>
        <v>2681762</v>
      </c>
      <c r="K70" s="1064">
        <f>SA34c!K7</f>
        <v>4018417</v>
      </c>
    </row>
    <row r="71" spans="1:11" ht="11.25" customHeight="1" x14ac:dyDescent="0.25">
      <c r="A71" s="1471" t="s">
        <v>750</v>
      </c>
      <c r="B71" s="350"/>
      <c r="C71" s="1063">
        <f>SA34c!C10</f>
        <v>23195034</v>
      </c>
      <c r="D71" s="1063">
        <f>SA34c!D10</f>
        <v>31949477</v>
      </c>
      <c r="E71" s="1064">
        <f>SA34c!E10</f>
        <v>13726149</v>
      </c>
      <c r="F71" s="1065">
        <f>SA34c!F10</f>
        <v>24992252</v>
      </c>
      <c r="G71" s="1063">
        <f>SA34c!G10</f>
        <v>26526119</v>
      </c>
      <c r="H71" s="1066">
        <f>SA34c!H10</f>
        <v>26526119</v>
      </c>
      <c r="I71" s="1067">
        <f>SA34c!I10</f>
        <v>20319604</v>
      </c>
      <c r="J71" s="1063">
        <f>SA34c!J10</f>
        <v>21330433</v>
      </c>
      <c r="K71" s="1064">
        <f>SA34c!K10</f>
        <v>22420118</v>
      </c>
    </row>
    <row r="72" spans="1:11" ht="11.25" customHeight="1" x14ac:dyDescent="0.25">
      <c r="A72" s="1471" t="s">
        <v>388</v>
      </c>
      <c r="B72" s="350"/>
      <c r="C72" s="1063">
        <f>SA34c!C14</f>
        <v>19258444</v>
      </c>
      <c r="D72" s="1063">
        <f>SA34c!D14</f>
        <v>345201</v>
      </c>
      <c r="E72" s="1064">
        <f>SA34c!E14</f>
        <v>1215926</v>
      </c>
      <c r="F72" s="1065">
        <f>SA34c!F14</f>
        <v>746080</v>
      </c>
      <c r="G72" s="1063">
        <f>SA34c!G14</f>
        <v>746000</v>
      </c>
      <c r="H72" s="1066">
        <f>SA34c!H14</f>
        <v>746080</v>
      </c>
      <c r="I72" s="1067">
        <f>SA34c!I14</f>
        <v>0</v>
      </c>
      <c r="J72" s="1063">
        <f>SA34c!J14</f>
        <v>0</v>
      </c>
      <c r="K72" s="1064">
        <f>SA34c!K14</f>
        <v>0</v>
      </c>
    </row>
    <row r="73" spans="1:11" ht="11.25" customHeight="1" x14ac:dyDescent="0.25">
      <c r="A73" s="1471" t="s">
        <v>389</v>
      </c>
      <c r="B73" s="350"/>
      <c r="C73" s="1063">
        <f>SA34c!C18</f>
        <v>0</v>
      </c>
      <c r="D73" s="1063">
        <f>SA34c!D18</f>
        <v>8253621</v>
      </c>
      <c r="E73" s="1064">
        <f>SA34c!E18</f>
        <v>0</v>
      </c>
      <c r="F73" s="1065">
        <f>SA34c!F18</f>
        <v>0</v>
      </c>
      <c r="G73" s="1063">
        <f>SA34c!G18</f>
        <v>0</v>
      </c>
      <c r="H73" s="1066">
        <f>SA34c!H18</f>
        <v>0</v>
      </c>
      <c r="I73" s="1067">
        <f>SA34c!I18</f>
        <v>0</v>
      </c>
      <c r="J73" s="1063">
        <f>SA34c!J18</f>
        <v>0</v>
      </c>
      <c r="K73" s="1064">
        <f>SA34c!K18</f>
        <v>0</v>
      </c>
    </row>
    <row r="74" spans="1:11" ht="11.25" customHeight="1" x14ac:dyDescent="0.25">
      <c r="A74" s="1471" t="s">
        <v>689</v>
      </c>
      <c r="B74" s="350"/>
      <c r="C74" s="1063">
        <f>SA34c!C21</f>
        <v>435019</v>
      </c>
      <c r="D74" s="1063">
        <f>SA34c!D21</f>
        <v>405257</v>
      </c>
      <c r="E74" s="1064">
        <f>SA34c!E21</f>
        <v>6862370</v>
      </c>
      <c r="F74" s="1065">
        <f>SA34c!F21</f>
        <v>86265</v>
      </c>
      <c r="G74" s="1063">
        <f>SA34c!G21</f>
        <v>86000</v>
      </c>
      <c r="H74" s="1066">
        <f>SA34c!H21</f>
        <v>86265</v>
      </c>
      <c r="I74" s="1067">
        <f>SA34c!I21</f>
        <v>1377485</v>
      </c>
      <c r="J74" s="1063">
        <f>SA34c!J21</f>
        <v>1445531</v>
      </c>
      <c r="K74" s="1064">
        <f>SA34c!K21</f>
        <v>1529562</v>
      </c>
    </row>
    <row r="75" spans="1:11" ht="11.25" customHeight="1" x14ac:dyDescent="0.25">
      <c r="A75" s="364" t="str">
        <f>$A$11</f>
        <v>Infrastructure</v>
      </c>
      <c r="B75" s="350"/>
      <c r="C75" s="1025">
        <f>SUM(C70:C74)</f>
        <v>75806997</v>
      </c>
      <c r="D75" s="1025">
        <f t="shared" ref="D75:K75" si="21">SUM(D70:D74)</f>
        <v>42549117</v>
      </c>
      <c r="E75" s="1026">
        <f t="shared" si="21"/>
        <v>25196421</v>
      </c>
      <c r="F75" s="1027">
        <f t="shared" si="21"/>
        <v>31185319</v>
      </c>
      <c r="G75" s="1025">
        <f t="shared" si="21"/>
        <v>32719119</v>
      </c>
      <c r="H75" s="1028">
        <f t="shared" si="21"/>
        <v>32719186</v>
      </c>
      <c r="I75" s="1029">
        <f t="shared" si="21"/>
        <v>25410828</v>
      </c>
      <c r="J75" s="1025">
        <f t="shared" si="21"/>
        <v>25457726</v>
      </c>
      <c r="K75" s="1026">
        <f t="shared" si="21"/>
        <v>27968097</v>
      </c>
    </row>
    <row r="76" spans="1:11" ht="11.25" customHeight="1" x14ac:dyDescent="0.25">
      <c r="A76" s="368" t="str">
        <f>A12</f>
        <v>Community</v>
      </c>
      <c r="B76" s="182"/>
      <c r="C76" s="1063">
        <f>SA34c!C27</f>
        <v>1973762</v>
      </c>
      <c r="D76" s="1063">
        <f>SA34c!D27</f>
        <v>3217941</v>
      </c>
      <c r="E76" s="1064">
        <f>SA34c!E27</f>
        <v>9015310</v>
      </c>
      <c r="F76" s="1065">
        <f>SA34c!F27</f>
        <v>2073845</v>
      </c>
      <c r="G76" s="1063">
        <f>SA34c!G27</f>
        <v>2485938</v>
      </c>
      <c r="H76" s="1066">
        <f>SA34c!H27</f>
        <v>2486054</v>
      </c>
      <c r="I76" s="1067">
        <f>SA34c!I27</f>
        <v>4898342</v>
      </c>
      <c r="J76" s="1063">
        <f>SA34c!J27</f>
        <v>6289869</v>
      </c>
      <c r="K76" s="1064">
        <f>SA34c!K27</f>
        <v>5929528</v>
      </c>
    </row>
    <row r="77" spans="1:11" ht="11.25" customHeight="1" x14ac:dyDescent="0.25">
      <c r="A77" s="368" t="str">
        <f>A13</f>
        <v>Heritage assets</v>
      </c>
      <c r="B77" s="182"/>
      <c r="C77" s="1465">
        <f>SA34c!C43</f>
        <v>0</v>
      </c>
      <c r="D77" s="1465">
        <f>SA34c!D43</f>
        <v>0</v>
      </c>
      <c r="E77" s="1466">
        <f>SA34c!E43</f>
        <v>0</v>
      </c>
      <c r="F77" s="1467">
        <f>SA34c!F43</f>
        <v>0</v>
      </c>
      <c r="G77" s="1465">
        <f>SA34c!G43</f>
        <v>0</v>
      </c>
      <c r="H77" s="1468">
        <f>SA34c!H43</f>
        <v>0</v>
      </c>
      <c r="I77" s="1469">
        <f>SA34c!I43</f>
        <v>0</v>
      </c>
      <c r="J77" s="1465">
        <f>SA34c!J43</f>
        <v>0</v>
      </c>
      <c r="K77" s="1466">
        <f>SA34c!K43</f>
        <v>0</v>
      </c>
    </row>
    <row r="78" spans="1:11" ht="11.25" customHeight="1" x14ac:dyDescent="0.25">
      <c r="A78" s="368" t="str">
        <f>A14</f>
        <v>Investment properties</v>
      </c>
      <c r="B78" s="182"/>
      <c r="C78" s="1063">
        <f>SA34c!C47</f>
        <v>0</v>
      </c>
      <c r="D78" s="1063">
        <f>SA34c!D47</f>
        <v>0</v>
      </c>
      <c r="E78" s="1064">
        <f>SA34c!E47</f>
        <v>0</v>
      </c>
      <c r="F78" s="1065">
        <f>SA34c!F47</f>
        <v>0</v>
      </c>
      <c r="G78" s="1063">
        <f>SA34c!G47</f>
        <v>0</v>
      </c>
      <c r="H78" s="1066">
        <f>SA34c!H47</f>
        <v>0</v>
      </c>
      <c r="I78" s="1067">
        <f>SA34c!I47</f>
        <v>0</v>
      </c>
      <c r="J78" s="1063">
        <f>SA34c!J47</f>
        <v>0</v>
      </c>
      <c r="K78" s="1064">
        <f>SA34c!K47</f>
        <v>0</v>
      </c>
    </row>
    <row r="79" spans="1:11" ht="11.25" customHeight="1" x14ac:dyDescent="0.25">
      <c r="A79" s="368" t="str">
        <f>A15</f>
        <v>Other assets</v>
      </c>
      <c r="B79" s="182" t="s">
        <v>1232</v>
      </c>
      <c r="C79" s="1063">
        <f>SA34c!C51+SA34c!C65+SA34c!C69+SA34c!C73</f>
        <v>40412763</v>
      </c>
      <c r="D79" s="1063">
        <f>SA34c!D51+SA34c!D65+SA34c!D69+SA34c!D73</f>
        <v>19880779</v>
      </c>
      <c r="E79" s="1064">
        <f>SA34c!E51+SA34c!E65+SA34c!E69+SA34c!E73</f>
        <v>5297956</v>
      </c>
      <c r="F79" s="1065">
        <f>SA34c!F51+SA34c!F65+SA34c!F69+SA34c!F73</f>
        <v>55926186</v>
      </c>
      <c r="G79" s="1063">
        <f>SA34c!G51+SA34c!G65+SA34c!G69+SA34c!G73</f>
        <v>54083232</v>
      </c>
      <c r="H79" s="1066">
        <f>SA34c!H51+SA34c!H65+SA34c!H69+SA34c!H73</f>
        <v>54083232</v>
      </c>
      <c r="I79" s="1067">
        <f>SA34c!I51+SA34c!I65+SA34c!I69+SA34c!I73</f>
        <v>65004757</v>
      </c>
      <c r="J79" s="1063">
        <f>SA34c!J51+SA34c!J65+SA34c!J69+SA34c!J73</f>
        <v>67895189</v>
      </c>
      <c r="K79" s="1064">
        <f>SA34c!K51+SA34c!K65+SA34c!K69+SA34c!K73</f>
        <v>96904838</v>
      </c>
    </row>
    <row r="80" spans="1:11" ht="11.25" customHeight="1" x14ac:dyDescent="0.25">
      <c r="A80" s="224" t="s">
        <v>1421</v>
      </c>
      <c r="B80" s="225"/>
      <c r="C80" s="213">
        <f t="shared" ref="C80:K80" si="22">SUM(C68:C69)</f>
        <v>242260084</v>
      </c>
      <c r="D80" s="213">
        <f t="shared" si="22"/>
        <v>319161176</v>
      </c>
      <c r="E80" s="214">
        <f t="shared" si="22"/>
        <v>313159883</v>
      </c>
      <c r="F80" s="215">
        <f t="shared" si="22"/>
        <v>247185350</v>
      </c>
      <c r="G80" s="213">
        <f t="shared" si="22"/>
        <v>247288289</v>
      </c>
      <c r="H80" s="212">
        <f t="shared" si="22"/>
        <v>247288472</v>
      </c>
      <c r="I80" s="216">
        <f t="shared" si="22"/>
        <v>284913927</v>
      </c>
      <c r="J80" s="213">
        <f t="shared" si="22"/>
        <v>327162784</v>
      </c>
      <c r="K80" s="214">
        <f t="shared" si="22"/>
        <v>403826463</v>
      </c>
    </row>
    <row r="81" spans="1:11" ht="6.75" customHeight="1" x14ac:dyDescent="0.25">
      <c r="A81" s="1545"/>
      <c r="B81" s="749"/>
      <c r="C81" s="1297"/>
      <c r="D81" s="1297"/>
      <c r="E81" s="1298"/>
      <c r="F81" s="1299"/>
      <c r="G81" s="1297"/>
      <c r="H81" s="1300"/>
      <c r="I81" s="1301"/>
      <c r="J81" s="1297"/>
      <c r="K81" s="1298"/>
    </row>
    <row r="82" spans="1:11" ht="11.25" customHeight="1" x14ac:dyDescent="0.25">
      <c r="A82" s="374" t="s">
        <v>1952</v>
      </c>
      <c r="B82" s="375"/>
      <c r="C82" s="376">
        <f>IF(ISERROR(C20/C49),0,(C20/C49))</f>
        <v>0.35244592542934322</v>
      </c>
      <c r="D82" s="376">
        <f t="shared" ref="D82:K82" si="23">IF(ISERROR(D20/D49),0,(D20/D49))</f>
        <v>0.79912596514242307</v>
      </c>
      <c r="E82" s="377">
        <f t="shared" si="23"/>
        <v>0</v>
      </c>
      <c r="F82" s="378">
        <f t="shared" si="23"/>
        <v>0.52132300642569585</v>
      </c>
      <c r="G82" s="376">
        <f t="shared" si="23"/>
        <v>0.56206438137145154</v>
      </c>
      <c r="H82" s="379">
        <f t="shared" si="23"/>
        <v>0.56206438137145154</v>
      </c>
      <c r="I82" s="380">
        <f t="shared" si="23"/>
        <v>0.60465325951719495</v>
      </c>
      <c r="J82" s="376">
        <f t="shared" si="23"/>
        <v>0.7390893967459915</v>
      </c>
      <c r="K82" s="377">
        <f t="shared" si="23"/>
        <v>0.78551095342217092</v>
      </c>
    </row>
    <row r="83" spans="1:11" ht="11.25" customHeight="1" x14ac:dyDescent="0.25">
      <c r="A83" s="374" t="s">
        <v>1422</v>
      </c>
      <c r="B83" s="375"/>
      <c r="C83" s="376">
        <f>IF(ISERROR(C20/C68),0,(C20/C68))</f>
        <v>0.77224675573745649</v>
      </c>
      <c r="D83" s="376">
        <f t="shared" ref="D83:K83" si="24">IF(ISERROR(D20/D68),0,(D20/D68))</f>
        <v>0.35036363139850407</v>
      </c>
      <c r="E83" s="377">
        <f t="shared" si="24"/>
        <v>0</v>
      </c>
      <c r="F83" s="378">
        <f t="shared" si="24"/>
        <v>0.75893411392405064</v>
      </c>
      <c r="G83" s="376">
        <f t="shared" si="24"/>
        <v>1.1019156582278482</v>
      </c>
      <c r="H83" s="379">
        <f t="shared" si="24"/>
        <v>1.1019156582278482</v>
      </c>
      <c r="I83" s="380">
        <f t="shared" si="24"/>
        <v>1.516921967299578</v>
      </c>
      <c r="J83" s="376">
        <f t="shared" si="24"/>
        <v>0.82598892405063296</v>
      </c>
      <c r="K83" s="377">
        <f t="shared" si="24"/>
        <v>0.69737458977965305</v>
      </c>
    </row>
    <row r="84" spans="1:11" ht="11.25" customHeight="1" x14ac:dyDescent="0.25">
      <c r="A84" s="374" t="s">
        <v>926</v>
      </c>
      <c r="B84" s="375"/>
      <c r="C84" s="376">
        <f>IF(ISERROR(ROUND(C69/'A6-FinPos'!C19,3)),0,(ROUND(C69/'A6-FinPos'!C19,3)))</f>
        <v>1.9E-2</v>
      </c>
      <c r="D84" s="376">
        <f>IF(ISERROR(ROUND(D69/'A6-FinPos'!D19,3)),0,(ROUND(D69/'A6-FinPos'!D19,3)))</f>
        <v>0.01</v>
      </c>
      <c r="E84" s="377">
        <f>IF(ISERROR(ROUND(E69/'A6-FinPos'!E19,3)),0,(ROUND(E69/'A6-FinPos'!E19,3)))</f>
        <v>6.0000000000000001E-3</v>
      </c>
      <c r="F84" s="378">
        <f>IF(ISERROR(ROUND(F69/'A6-FinPos'!F19,3)),0,(ROUND(F69/'A6-FinPos'!F19,3)))</f>
        <v>1.2999999999999999E-2</v>
      </c>
      <c r="G84" s="376">
        <f>IF(ISERROR(ROUND(G69/'A6-FinPos'!G19,3)),0,(ROUND(G69/'A6-FinPos'!G19,3)))</f>
        <v>1.2999999999999999E-2</v>
      </c>
      <c r="H84" s="379">
        <f>IF(ISERROR(ROUND(H69/'A6-FinPos'!H19,3)),0,(ROUND(H69/'A6-FinPos'!H19,3)))</f>
        <v>1.2999999999999999E-2</v>
      </c>
      <c r="I84" s="380">
        <f>IF(ISERROR(ROUND(I69/'A6-FinPos'!J19,3)),0,(ROUND(I69/'A6-FinPos'!J19,3)))</f>
        <v>1.4999999999999999E-2</v>
      </c>
      <c r="J84" s="376">
        <f>IF(ISERROR(ROUND(J69/'A6-FinPos'!K19,3)),0,(ROUND(J69/'A6-FinPos'!K19,3)))</f>
        <v>1.4999999999999999E-2</v>
      </c>
      <c r="K84" s="377">
        <f>IF(ISERROR(ROUND(K69/'A6-FinPos'!L19,3)),0,(ROUND(K69/'A6-FinPos'!L19,3)))</f>
        <v>0.02</v>
      </c>
    </row>
    <row r="85" spans="1:11" ht="11.25" customHeight="1" x14ac:dyDescent="0.25">
      <c r="A85" s="374" t="s">
        <v>537</v>
      </c>
      <c r="B85" s="375"/>
      <c r="C85" s="376">
        <f>IF(ISERROR(ROUND((C20+C69)/C65,2)),0,(ROUND((C20+C69)/C65,2)))</f>
        <v>0.03</v>
      </c>
      <c r="D85" s="376">
        <f t="shared" ref="D85:K85" si="25">IF(ISERROR(ROUND((D20+D69)/D65,2)),0,(ROUND((D20+D69)/D65,2)))</f>
        <v>0.02</v>
      </c>
      <c r="E85" s="377">
        <f t="shared" si="25"/>
        <v>0.01</v>
      </c>
      <c r="F85" s="378">
        <f t="shared" si="25"/>
        <v>0.03</v>
      </c>
      <c r="G85" s="376">
        <f t="shared" si="25"/>
        <v>0.04</v>
      </c>
      <c r="H85" s="379">
        <f t="shared" si="25"/>
        <v>0.04</v>
      </c>
      <c r="I85" s="380">
        <f t="shared" si="25"/>
        <v>0.06</v>
      </c>
      <c r="J85" s="376">
        <f t="shared" si="25"/>
        <v>0.04</v>
      </c>
      <c r="K85" s="377">
        <f t="shared" si="25"/>
        <v>0.05</v>
      </c>
    </row>
    <row r="86" spans="1:11" ht="5.15" customHeight="1" x14ac:dyDescent="0.25">
      <c r="A86" s="381"/>
      <c r="B86" s="382"/>
      <c r="C86" s="383"/>
      <c r="D86" s="383"/>
      <c r="E86" s="384"/>
      <c r="F86" s="385"/>
      <c r="G86" s="383"/>
      <c r="H86" s="386"/>
      <c r="I86" s="387"/>
      <c r="J86" s="383"/>
      <c r="K86" s="384"/>
    </row>
    <row r="87" spans="1:11" s="709" customFormat="1" x14ac:dyDescent="0.25">
      <c r="A87" s="1232" t="str">
        <f>head27a</f>
        <v>References</v>
      </c>
      <c r="B87" s="1233"/>
      <c r="C87" s="1237"/>
      <c r="D87" s="1237"/>
      <c r="E87" s="1237"/>
      <c r="F87" s="1237"/>
      <c r="G87" s="1237"/>
      <c r="H87" s="1237"/>
      <c r="I87" s="1237"/>
      <c r="J87" s="1237"/>
      <c r="K87" s="1237"/>
    </row>
    <row r="88" spans="1:11" s="709" customFormat="1" x14ac:dyDescent="0.25">
      <c r="A88" s="1197" t="s">
        <v>451</v>
      </c>
      <c r="B88" s="1233"/>
      <c r="C88" s="1237"/>
      <c r="D88" s="1237"/>
      <c r="E88" s="1237"/>
      <c r="F88" s="1237"/>
      <c r="G88" s="1237"/>
      <c r="H88" s="1237"/>
      <c r="I88" s="1237"/>
      <c r="J88" s="1237"/>
      <c r="K88" s="1237"/>
    </row>
    <row r="89" spans="1:11" s="709" customFormat="1" x14ac:dyDescent="0.25">
      <c r="A89" s="1197" t="s">
        <v>452</v>
      </c>
      <c r="B89" s="1233"/>
      <c r="C89" s="1237"/>
      <c r="D89" s="1237"/>
      <c r="E89" s="1237"/>
      <c r="F89" s="1237"/>
      <c r="G89" s="1237"/>
      <c r="H89" s="1237"/>
      <c r="I89" s="1237"/>
      <c r="J89" s="1237"/>
      <c r="K89" s="1237"/>
    </row>
    <row r="90" spans="1:11" s="709" customFormat="1" x14ac:dyDescent="0.25">
      <c r="A90" s="1197" t="s">
        <v>453</v>
      </c>
      <c r="B90" s="1233"/>
      <c r="C90" s="1237"/>
      <c r="D90" s="1237"/>
      <c r="E90" s="1237"/>
      <c r="F90" s="1237"/>
      <c r="G90" s="1237"/>
      <c r="H90" s="1237"/>
      <c r="I90" s="1237"/>
      <c r="J90" s="1237"/>
      <c r="K90" s="1237"/>
    </row>
    <row r="91" spans="1:11" s="709" customFormat="1" x14ac:dyDescent="0.25">
      <c r="A91" s="1194" t="s">
        <v>454</v>
      </c>
      <c r="B91" s="1233"/>
      <c r="C91" s="1237"/>
      <c r="D91" s="1237"/>
      <c r="E91" s="1237"/>
      <c r="F91" s="1237"/>
      <c r="G91" s="1237"/>
      <c r="H91" s="1237"/>
      <c r="I91" s="1237"/>
      <c r="J91" s="1237"/>
      <c r="K91" s="1237"/>
    </row>
    <row r="92" spans="1:11" s="709" customFormat="1" x14ac:dyDescent="0.25">
      <c r="A92" s="1197" t="s">
        <v>455</v>
      </c>
      <c r="B92" s="1233"/>
      <c r="C92" s="1237"/>
      <c r="D92" s="1237"/>
      <c r="E92" s="1237"/>
      <c r="F92" s="1237"/>
      <c r="G92" s="1237"/>
      <c r="H92" s="1237"/>
      <c r="I92" s="1237"/>
      <c r="J92" s="1237"/>
      <c r="K92" s="1237"/>
    </row>
    <row r="93" spans="1:11" s="709" customFormat="1" x14ac:dyDescent="0.25">
      <c r="A93" s="1194" t="s">
        <v>456</v>
      </c>
      <c r="B93" s="1264"/>
      <c r="C93" s="1264"/>
      <c r="D93" s="1264"/>
      <c r="E93" s="1264"/>
      <c r="F93" s="1264"/>
      <c r="G93" s="1264"/>
      <c r="H93" s="1264"/>
      <c r="I93" s="1264"/>
      <c r="J93" s="1264"/>
      <c r="K93" s="1264"/>
    </row>
    <row r="94" spans="1:11" ht="11.25" customHeight="1" x14ac:dyDescent="0.25">
      <c r="A94" s="1264" t="s">
        <v>498</v>
      </c>
      <c r="B94" s="1233"/>
      <c r="C94" s="1264"/>
      <c r="D94" s="1264"/>
      <c r="E94" s="1264"/>
      <c r="F94" s="1264"/>
      <c r="G94" s="1264"/>
      <c r="H94" s="707"/>
      <c r="I94" s="707"/>
      <c r="J94" s="707"/>
      <c r="K94" s="707"/>
    </row>
    <row r="95" spans="1:11" ht="11.25" customHeight="1" x14ac:dyDescent="0.25">
      <c r="A95" s="1269" t="s">
        <v>2077</v>
      </c>
      <c r="B95" s="1264"/>
      <c r="C95" s="1267">
        <f>C65-'A6-FinPos'!C17-'A6-FinPos'!C19-'A6-FinPos'!C21-'A6-FinPos'!C22</f>
        <v>0</v>
      </c>
      <c r="D95" s="1267">
        <f>D65-'A6-FinPos'!D17-'A6-FinPos'!D19-'A6-FinPos'!D21-'A6-FinPos'!D22</f>
        <v>0</v>
      </c>
      <c r="E95" s="1267">
        <f>E65-'A6-FinPos'!E17-'A6-FinPos'!E19-'A6-FinPos'!E21-'A6-FinPos'!E22</f>
        <v>0</v>
      </c>
      <c r="F95" s="1267">
        <f>F65-'A6-FinPos'!F17-'A6-FinPos'!F19-'A6-FinPos'!F21-'A6-FinPos'!F22</f>
        <v>-2.544403076171875E-3</v>
      </c>
      <c r="G95" s="1267">
        <f>G65-'A6-FinPos'!G17-'A6-FinPos'!G19-'A6-FinPos'!G21-'A6-FinPos'!G22</f>
        <v>9.5367431640625E-7</v>
      </c>
      <c r="H95" s="1267">
        <f>H65-'A6-FinPos'!H17-'A6-FinPos'!H19-'A6-FinPos'!H21-'A6-FinPos'!H22</f>
        <v>9.5367431640625E-7</v>
      </c>
      <c r="I95" s="1267">
        <f>I65-'A6-FinPos'!J17-'A6-FinPos'!J19-'A6-FinPos'!J21-'A6-FinPos'!J22</f>
        <v>9.9945068359375E-4</v>
      </c>
      <c r="J95" s="1267">
        <f>J65-'A6-FinPos'!K17-'A6-FinPos'!K19-'A6-FinPos'!K21-'A6-FinPos'!K22</f>
        <v>0</v>
      </c>
      <c r="K95" s="1267">
        <f>K65-'A6-FinPos'!L17-'A6-FinPos'!L19-'A6-FinPos'!L21-'A6-FinPos'!L22</f>
        <v>0</v>
      </c>
    </row>
    <row r="96" spans="1:11" ht="11.25" customHeight="1" x14ac:dyDescent="0.25">
      <c r="A96" s="246"/>
      <c r="B96" s="246"/>
      <c r="C96" s="246"/>
      <c r="D96" s="246"/>
      <c r="E96" s="246"/>
      <c r="F96" s="246"/>
      <c r="G96" s="246"/>
    </row>
    <row r="97" spans="1:7" ht="11.25" customHeight="1" x14ac:dyDescent="0.25">
      <c r="A97" s="246"/>
      <c r="B97" s="246"/>
      <c r="C97" s="246"/>
      <c r="D97" s="246"/>
      <c r="E97" s="246"/>
      <c r="F97" s="246"/>
      <c r="G97" s="246"/>
    </row>
    <row r="98" spans="1:7" ht="11.25" customHeight="1" x14ac:dyDescent="0.25">
      <c r="A98" s="246"/>
      <c r="B98" s="246"/>
      <c r="C98" s="246"/>
      <c r="D98" s="246"/>
      <c r="E98" s="246"/>
      <c r="F98" s="246"/>
      <c r="G98" s="246"/>
    </row>
    <row r="99" spans="1:7" ht="11.25" customHeight="1" x14ac:dyDescent="0.25">
      <c r="A99" s="246"/>
      <c r="B99" s="236"/>
      <c r="C99" s="246"/>
      <c r="D99" s="246"/>
      <c r="E99" s="246"/>
      <c r="F99" s="246"/>
      <c r="G99" s="246"/>
    </row>
    <row r="100" spans="1:7" ht="11.25" customHeight="1" x14ac:dyDescent="0.25"/>
    <row r="101" spans="1:7" ht="11.25" customHeight="1" x14ac:dyDescent="0.25"/>
    <row r="102" spans="1:7" ht="11.25" customHeight="1" x14ac:dyDescent="0.25"/>
    <row r="103" spans="1:7" ht="11.25" customHeight="1" x14ac:dyDescent="0.25"/>
    <row r="104" spans="1:7" ht="11.25" customHeight="1" x14ac:dyDescent="0.25"/>
    <row r="105" spans="1:7" ht="11.25" customHeight="1" x14ac:dyDescent="0.25"/>
    <row r="106" spans="1:7" ht="11.25" customHeight="1" x14ac:dyDescent="0.25"/>
    <row r="107" spans="1:7" ht="11.25" customHeight="1" x14ac:dyDescent="0.25"/>
    <row r="108" spans="1:7" ht="11.25" customHeight="1" x14ac:dyDescent="0.25"/>
    <row r="109" spans="1:7" ht="11.25" customHeight="1" x14ac:dyDescent="0.25"/>
    <row r="110" spans="1:7" ht="11.25" customHeight="1" x14ac:dyDescent="0.25"/>
    <row r="111" spans="1:7" ht="11.25" customHeight="1" x14ac:dyDescent="0.25"/>
    <row r="112" spans="1:7"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sheetData>
  <sheetProtection password="C646" sheet="1" objects="1" scenarios="1"/>
  <dataConsolidate/>
  <mergeCells count="2">
    <mergeCell ref="F2:H2"/>
    <mergeCell ref="I2:K2"/>
  </mergeCells>
  <phoneticPr fontId="2" type="noConversion"/>
  <printOptions horizontalCentered="1"/>
  <pageMargins left="0.37" right="0.2" top="0.6" bottom="0.5" header="0.511811023622047" footer="0.39370078740157499"/>
  <pageSetup paperSize="9" scale="74"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tabColor indexed="44"/>
    <pageSetUpPr fitToPage="1"/>
  </sheetPr>
  <dimension ref="A1:M133"/>
  <sheetViews>
    <sheetView showGridLines="0" zoomScaleNormal="100" workbookViewId="0">
      <pane xSplit="2" ySplit="3" topLeftCell="C85" activePane="bottomRight" state="frozen"/>
      <selection pane="topRight"/>
      <selection pane="bottomLeft"/>
      <selection pane="bottomRight" activeCell="M43" sqref="M43"/>
    </sheetView>
  </sheetViews>
  <sheetFormatPr defaultColWidth="9.1796875" defaultRowHeight="10.5" x14ac:dyDescent="0.25"/>
  <cols>
    <col min="1" max="1" width="30.7265625" style="707" customWidth="1"/>
    <col min="2" max="2" width="3" style="704" customWidth="1"/>
    <col min="3" max="8" width="9.26953125" style="707" customWidth="1"/>
    <col min="9" max="9" width="9.81640625" style="707" customWidth="1"/>
    <col min="10" max="11" width="9.26953125" style="707" customWidth="1"/>
    <col min="12" max="12" width="9.81640625" style="707" customWidth="1"/>
    <col min="13" max="13" width="9.54296875" style="707" customWidth="1"/>
    <col min="14" max="14" width="9.81640625" style="707" customWidth="1"/>
    <col min="15" max="17" width="9.54296875" style="707" customWidth="1"/>
    <col min="18" max="18" width="9.81640625" style="707" customWidth="1"/>
    <col min="19" max="21" width="9.54296875" style="707" customWidth="1"/>
    <col min="22" max="23" width="9.81640625" style="707" customWidth="1"/>
    <col min="24" max="16384" width="9.1796875" style="707"/>
  </cols>
  <sheetData>
    <row r="1" spans="1:13" s="1122" customFormat="1" ht="13" x14ac:dyDescent="0.3">
      <c r="A1" s="1121" t="str">
        <f>muni&amp;" - "&amp;Approve10</f>
        <v>KZN225 Msunduzi - Table A10 Consolidated basic service delivery measurement</v>
      </c>
      <c r="B1" s="1121"/>
      <c r="C1" s="1121"/>
      <c r="D1" s="1121"/>
      <c r="E1" s="1121"/>
      <c r="F1" s="1121"/>
      <c r="G1" s="1121"/>
      <c r="H1" s="1121"/>
      <c r="I1" s="1121"/>
      <c r="J1" s="1121"/>
      <c r="K1" s="1121"/>
    </row>
    <row r="2" spans="1:13" ht="28.5" customHeight="1" x14ac:dyDescent="0.25">
      <c r="A2" s="2697" t="str">
        <f>desc</f>
        <v>Description</v>
      </c>
      <c r="B2" s="2699" t="str">
        <f>head27</f>
        <v>Ref</v>
      </c>
      <c r="C2" s="1123" t="str">
        <f>head1b</f>
        <v>2009/10</v>
      </c>
      <c r="D2" s="1123" t="str">
        <f>head1A</f>
        <v>2010/11</v>
      </c>
      <c r="E2" s="1124" t="str">
        <f>Head1</f>
        <v>2011/12</v>
      </c>
      <c r="F2" s="2683" t="str">
        <f>Head2</f>
        <v>Current Year 2012/13</v>
      </c>
      <c r="G2" s="2684"/>
      <c r="H2" s="2696"/>
      <c r="I2" s="2685" t="str">
        <f>Head3</f>
        <v>2013/14 Medium Term Revenue &amp; Expenditure Framework</v>
      </c>
      <c r="J2" s="2686"/>
      <c r="K2" s="2687"/>
    </row>
    <row r="3" spans="1:13" ht="21" x14ac:dyDescent="0.25">
      <c r="A3" s="2698"/>
      <c r="B3" s="2700"/>
      <c r="C3" s="1125" t="str">
        <f>Head5A</f>
        <v>Outcome</v>
      </c>
      <c r="D3" s="1125" t="str">
        <f>Head5A</f>
        <v>Outcome</v>
      </c>
      <c r="E3" s="1126" t="str">
        <f>Head5A</f>
        <v>Outcome</v>
      </c>
      <c r="F3" s="1127" t="str">
        <f>Head6</f>
        <v>Original Budget</v>
      </c>
      <c r="G3" s="1125" t="str">
        <f>Head7</f>
        <v>Adjusted Budget</v>
      </c>
      <c r="H3" s="1126" t="str">
        <f>Head8</f>
        <v>Full Year Forecast</v>
      </c>
      <c r="I3" s="1127" t="str">
        <f>Head9</f>
        <v>Budget Year 2013/14</v>
      </c>
      <c r="J3" s="1125" t="str">
        <f>Head10</f>
        <v>Budget Year +1 2014/15</v>
      </c>
      <c r="K3" s="1126" t="str">
        <f>Head11</f>
        <v>Budget Year +2 2015/16</v>
      </c>
    </row>
    <row r="4" spans="1:13" s="2508" customFormat="1" ht="11.25" customHeight="1" x14ac:dyDescent="0.25">
      <c r="A4" s="1128" t="s">
        <v>2231</v>
      </c>
      <c r="B4" s="1129">
        <v>1</v>
      </c>
      <c r="C4" s="2509"/>
      <c r="D4" s="2509"/>
      <c r="E4" s="2510"/>
      <c r="F4" s="2511"/>
      <c r="G4" s="2509"/>
      <c r="H4" s="2512"/>
      <c r="I4" s="2513"/>
      <c r="J4" s="2509"/>
      <c r="K4" s="2510"/>
    </row>
    <row r="5" spans="1:13" s="2508" customFormat="1" x14ac:dyDescent="0.25">
      <c r="A5" s="1135" t="s">
        <v>1853</v>
      </c>
      <c r="B5" s="1129"/>
      <c r="C5" s="2479"/>
      <c r="D5" s="2479"/>
      <c r="E5" s="2480"/>
      <c r="F5" s="2481"/>
      <c r="G5" s="2479"/>
      <c r="H5" s="2482"/>
      <c r="I5" s="2483"/>
      <c r="J5" s="2479"/>
      <c r="K5" s="2480"/>
    </row>
    <row r="6" spans="1:13" ht="11.25" customHeight="1" x14ac:dyDescent="0.25">
      <c r="A6" s="1136" t="s">
        <v>1641</v>
      </c>
      <c r="B6" s="1129"/>
      <c r="C6" s="1661">
        <v>121055</v>
      </c>
      <c r="D6" s="1661"/>
      <c r="E6" s="2626">
        <v>78552</v>
      </c>
      <c r="F6" s="1053">
        <v>99573</v>
      </c>
      <c r="G6" s="1053">
        <v>99573</v>
      </c>
      <c r="H6" s="2627">
        <f>+E6+L6+250</f>
        <v>78802</v>
      </c>
      <c r="I6" s="2629">
        <f>+H6+L6+250</f>
        <v>79052</v>
      </c>
      <c r="J6" s="2629">
        <f>+I6+M6+250</f>
        <v>79302</v>
      </c>
      <c r="K6" s="2629">
        <f>+J6+N6+250</f>
        <v>79552</v>
      </c>
      <c r="L6" s="1464"/>
      <c r="M6" s="1464"/>
    </row>
    <row r="7" spans="1:13" ht="11.25" customHeight="1" x14ac:dyDescent="0.25">
      <c r="A7" s="1136" t="s">
        <v>1852</v>
      </c>
      <c r="B7" s="1129"/>
      <c r="C7" s="1661">
        <v>19139</v>
      </c>
      <c r="D7" s="1661"/>
      <c r="E7" s="2626">
        <v>63301</v>
      </c>
      <c r="F7" s="1053">
        <v>7000</v>
      </c>
      <c r="G7" s="1053">
        <v>7000</v>
      </c>
      <c r="H7" s="2627">
        <f>+E7+L7+20</f>
        <v>63321</v>
      </c>
      <c r="I7" s="2629">
        <f>+H7+L7+20</f>
        <v>63341</v>
      </c>
      <c r="J7" s="2629">
        <f>+I7+M7+20</f>
        <v>63361</v>
      </c>
      <c r="K7" s="2629">
        <f>+J7+N7+20</f>
        <v>63381</v>
      </c>
      <c r="L7" s="1464"/>
      <c r="M7" s="1464"/>
    </row>
    <row r="8" spans="1:13" ht="11.25" customHeight="1" x14ac:dyDescent="0.25">
      <c r="A8" s="1136" t="s">
        <v>131</v>
      </c>
      <c r="B8" s="1129">
        <v>2</v>
      </c>
      <c r="C8" s="1661">
        <v>565</v>
      </c>
      <c r="D8" s="1661"/>
      <c r="E8" s="2626">
        <f>3116+9348+2296+984</f>
        <v>15744</v>
      </c>
      <c r="F8" s="1053">
        <v>569</v>
      </c>
      <c r="G8" s="1053">
        <v>569</v>
      </c>
      <c r="H8" s="2627">
        <f>17724</f>
        <v>17724</v>
      </c>
      <c r="I8" s="2629">
        <f>+H8+L8+-20</f>
        <v>17704</v>
      </c>
      <c r="J8" s="2629">
        <f>+I8+M8+-20</f>
        <v>17684</v>
      </c>
      <c r="K8" s="2629">
        <f>+J8+N8+-20</f>
        <v>17664</v>
      </c>
      <c r="L8" s="1464"/>
      <c r="M8" s="1464"/>
    </row>
    <row r="9" spans="1:13" ht="11.25" customHeight="1" x14ac:dyDescent="0.25">
      <c r="A9" s="1136" t="s">
        <v>132</v>
      </c>
      <c r="B9" s="1129">
        <v>4</v>
      </c>
      <c r="C9" s="1661"/>
      <c r="D9" s="1661"/>
      <c r="E9" s="2626"/>
      <c r="F9" s="1053"/>
      <c r="G9" s="1661"/>
      <c r="H9" s="1664"/>
      <c r="I9" s="2629"/>
      <c r="J9" s="2621"/>
      <c r="K9" s="2621"/>
      <c r="L9" s="1464"/>
      <c r="M9" s="1464"/>
    </row>
    <row r="10" spans="1:13" ht="11.25" customHeight="1" x14ac:dyDescent="0.25">
      <c r="A10" s="1539" t="s">
        <v>375</v>
      </c>
      <c r="B10" s="1129"/>
      <c r="C10" s="2485">
        <f>SUM(C6:C9)</f>
        <v>140759</v>
      </c>
      <c r="D10" s="2485">
        <f t="shared" ref="D10:K10" si="0">SUM(D6:D9)</f>
        <v>0</v>
      </c>
      <c r="E10" s="2486">
        <f t="shared" si="0"/>
        <v>157597</v>
      </c>
      <c r="F10" s="2487">
        <f t="shared" si="0"/>
        <v>107142</v>
      </c>
      <c r="G10" s="2485">
        <f t="shared" si="0"/>
        <v>107142</v>
      </c>
      <c r="H10" s="2488">
        <f t="shared" si="0"/>
        <v>159847</v>
      </c>
      <c r="I10" s="2489">
        <f t="shared" si="0"/>
        <v>160097</v>
      </c>
      <c r="J10" s="2485">
        <f t="shared" si="0"/>
        <v>160347</v>
      </c>
      <c r="K10" s="2486">
        <f t="shared" si="0"/>
        <v>160597</v>
      </c>
      <c r="L10" s="1464"/>
      <c r="M10" s="1464"/>
    </row>
    <row r="11" spans="1:13" ht="11.25" customHeight="1" x14ac:dyDescent="0.25">
      <c r="A11" s="1136" t="s">
        <v>504</v>
      </c>
      <c r="B11" s="1129">
        <v>3</v>
      </c>
      <c r="C11" s="1661">
        <v>506</v>
      </c>
      <c r="D11" s="1661"/>
      <c r="E11" s="2626"/>
      <c r="F11" s="2484"/>
      <c r="G11" s="1661"/>
      <c r="H11" s="1664"/>
      <c r="I11" s="1665"/>
      <c r="J11" s="1661"/>
      <c r="K11" s="1662"/>
      <c r="L11" s="1464"/>
      <c r="M11" s="1464"/>
    </row>
    <row r="12" spans="1:13" ht="11.25" customHeight="1" x14ac:dyDescent="0.25">
      <c r="A12" s="1136" t="s">
        <v>505</v>
      </c>
      <c r="B12" s="1129">
        <f>B9</f>
        <v>4</v>
      </c>
      <c r="C12" s="1661">
        <v>1500</v>
      </c>
      <c r="D12" s="1661"/>
      <c r="E12" s="2626"/>
      <c r="F12" s="2484"/>
      <c r="G12" s="1661"/>
      <c r="H12" s="1664"/>
      <c r="I12" s="1665"/>
      <c r="J12" s="1661"/>
      <c r="K12" s="1662"/>
      <c r="L12" s="1464"/>
      <c r="M12" s="1464"/>
    </row>
    <row r="13" spans="1:13" ht="11.25" customHeight="1" x14ac:dyDescent="0.25">
      <c r="A13" s="1136" t="s">
        <v>971</v>
      </c>
      <c r="B13" s="1129"/>
      <c r="C13" s="1661"/>
      <c r="D13" s="1661"/>
      <c r="E13" s="2626">
        <v>6396</v>
      </c>
      <c r="F13" s="2484"/>
      <c r="G13" s="1661"/>
      <c r="H13" s="2627">
        <f>+E13</f>
        <v>6396</v>
      </c>
      <c r="I13" s="1665"/>
      <c r="J13" s="1661"/>
      <c r="K13" s="1662"/>
      <c r="L13" s="1464"/>
      <c r="M13" s="1464"/>
    </row>
    <row r="14" spans="1:13" ht="11.25" customHeight="1" x14ac:dyDescent="0.25">
      <c r="A14" s="1539" t="s">
        <v>1290</v>
      </c>
      <c r="B14" s="1129"/>
      <c r="C14" s="2490">
        <f>SUM(C11:C13)</f>
        <v>2006</v>
      </c>
      <c r="D14" s="2490">
        <f t="shared" ref="D14:K14" si="1">SUM(D11:D13)</f>
        <v>0</v>
      </c>
      <c r="E14" s="2491">
        <f t="shared" si="1"/>
        <v>6396</v>
      </c>
      <c r="F14" s="2492">
        <f t="shared" si="1"/>
        <v>0</v>
      </c>
      <c r="G14" s="2490">
        <f t="shared" si="1"/>
        <v>0</v>
      </c>
      <c r="H14" s="2493">
        <f t="shared" si="1"/>
        <v>6396</v>
      </c>
      <c r="I14" s="2494">
        <f t="shared" si="1"/>
        <v>0</v>
      </c>
      <c r="J14" s="2490">
        <f t="shared" si="1"/>
        <v>0</v>
      </c>
      <c r="K14" s="2491">
        <f t="shared" si="1"/>
        <v>0</v>
      </c>
      <c r="L14" s="1464"/>
      <c r="M14" s="1464"/>
    </row>
    <row r="15" spans="1:13" ht="11.25" customHeight="1" x14ac:dyDescent="0.25">
      <c r="A15" s="1137" t="s">
        <v>1328</v>
      </c>
      <c r="B15" s="1129">
        <v>5</v>
      </c>
      <c r="C15" s="2495">
        <f>C10+C14</f>
        <v>142765</v>
      </c>
      <c r="D15" s="2495">
        <f t="shared" ref="D15:K15" si="2">D10+D14</f>
        <v>0</v>
      </c>
      <c r="E15" s="2496">
        <f t="shared" si="2"/>
        <v>163993</v>
      </c>
      <c r="F15" s="2497">
        <f t="shared" si="2"/>
        <v>107142</v>
      </c>
      <c r="G15" s="2495">
        <f t="shared" si="2"/>
        <v>107142</v>
      </c>
      <c r="H15" s="2498">
        <f t="shared" si="2"/>
        <v>166243</v>
      </c>
      <c r="I15" s="2499">
        <f t="shared" si="2"/>
        <v>160097</v>
      </c>
      <c r="J15" s="2495">
        <f t="shared" si="2"/>
        <v>160347</v>
      </c>
      <c r="K15" s="2496">
        <f t="shared" si="2"/>
        <v>160597</v>
      </c>
      <c r="L15" s="1464"/>
      <c r="M15" s="1464"/>
    </row>
    <row r="16" spans="1:13" s="2508" customFormat="1" ht="15.75" customHeight="1" x14ac:dyDescent="0.25">
      <c r="A16" s="1135" t="s">
        <v>1329</v>
      </c>
      <c r="B16" s="1129"/>
      <c r="C16" s="2479"/>
      <c r="D16" s="2479"/>
      <c r="E16" s="2480"/>
      <c r="F16" s="2481"/>
      <c r="G16" s="2479"/>
      <c r="H16" s="2482"/>
      <c r="I16" s="2483"/>
      <c r="J16" s="2479"/>
      <c r="K16" s="2480"/>
      <c r="L16" s="2507"/>
      <c r="M16" s="2507"/>
    </row>
    <row r="17" spans="1:13" ht="11.25" customHeight="1" x14ac:dyDescent="0.25">
      <c r="A17" s="1136" t="s">
        <v>1330</v>
      </c>
      <c r="B17" s="1129"/>
      <c r="C17" s="1661">
        <v>57147</v>
      </c>
      <c r="D17" s="1661"/>
      <c r="E17" s="2621">
        <v>84675</v>
      </c>
      <c r="F17" s="1661">
        <v>55228</v>
      </c>
      <c r="G17" s="1661">
        <v>55228</v>
      </c>
      <c r="H17" s="2627">
        <f>+E17+L17+150</f>
        <v>84825</v>
      </c>
      <c r="I17" s="2629">
        <f>+H17+L17+150</f>
        <v>84975</v>
      </c>
      <c r="J17" s="2629">
        <f>+I17+M17+150</f>
        <v>85125</v>
      </c>
      <c r="K17" s="2621">
        <f>+J17+L17</f>
        <v>85125</v>
      </c>
      <c r="L17" s="1464"/>
      <c r="M17" s="1464"/>
    </row>
    <row r="18" spans="1:13" ht="11.25" customHeight="1" x14ac:dyDescent="0.25">
      <c r="A18" s="1136" t="s">
        <v>1331</v>
      </c>
      <c r="B18" s="1129"/>
      <c r="C18" s="1661">
        <v>5086</v>
      </c>
      <c r="D18" s="1661"/>
      <c r="E18" s="2621">
        <v>8540</v>
      </c>
      <c r="F18" s="1661">
        <v>4979</v>
      </c>
      <c r="G18" s="1661">
        <v>4979</v>
      </c>
      <c r="H18" s="2627">
        <f>+E18+L18+10</f>
        <v>8550</v>
      </c>
      <c r="I18" s="2629">
        <f>+H18+L18+10</f>
        <v>8560</v>
      </c>
      <c r="J18" s="2629">
        <f>+I18+M18+10</f>
        <v>8570</v>
      </c>
      <c r="K18" s="2621">
        <f>+J18+L18</f>
        <v>8570</v>
      </c>
      <c r="L18" s="1464"/>
      <c r="M18" s="1464"/>
    </row>
    <row r="19" spans="1:13" ht="11.25" customHeight="1" x14ac:dyDescent="0.25">
      <c r="A19" s="1136" t="s">
        <v>1395</v>
      </c>
      <c r="B19" s="1129"/>
      <c r="C19" s="1661">
        <v>4379</v>
      </c>
      <c r="D19" s="1661"/>
      <c r="E19" s="2621">
        <v>5489</v>
      </c>
      <c r="F19" s="1661">
        <v>315</v>
      </c>
      <c r="G19" s="1661">
        <v>315</v>
      </c>
      <c r="H19" s="2627">
        <f>3499</f>
        <v>3499</v>
      </c>
      <c r="I19" s="2629">
        <v>3000</v>
      </c>
      <c r="J19" s="2629">
        <v>2500</v>
      </c>
      <c r="K19" s="2621">
        <v>2000</v>
      </c>
      <c r="L19" s="1464"/>
      <c r="M19" s="1464"/>
    </row>
    <row r="20" spans="1:13" ht="11.25" customHeight="1" x14ac:dyDescent="0.25">
      <c r="A20" s="1136" t="s">
        <v>241</v>
      </c>
      <c r="B20" s="1129"/>
      <c r="C20" s="1661">
        <v>29446</v>
      </c>
      <c r="D20" s="1661"/>
      <c r="E20" s="2621">
        <v>28344</v>
      </c>
      <c r="F20" s="1661">
        <v>32116</v>
      </c>
      <c r="G20" s="1661">
        <v>32116</v>
      </c>
      <c r="H20" s="2627">
        <f>+E20+L20+-2000</f>
        <v>26344</v>
      </c>
      <c r="I20" s="2629">
        <f>+H20+L20+-2000</f>
        <v>24344</v>
      </c>
      <c r="J20" s="2621">
        <v>32696</v>
      </c>
      <c r="K20" s="2621">
        <f>+J20+L20</f>
        <v>32696</v>
      </c>
      <c r="L20" s="1464"/>
      <c r="M20" s="1464"/>
    </row>
    <row r="21" spans="1:13" ht="11.25" customHeight="1" x14ac:dyDescent="0.25">
      <c r="A21" s="1136" t="s">
        <v>243</v>
      </c>
      <c r="B21" s="1129"/>
      <c r="C21" s="1661"/>
      <c r="D21" s="1661"/>
      <c r="E21" s="2621">
        <f>4437+27607</f>
        <v>32044</v>
      </c>
      <c r="F21" s="1661"/>
      <c r="G21" s="1661"/>
      <c r="H21" s="2627">
        <f>+E21+L21+-4000</f>
        <v>28044</v>
      </c>
      <c r="I21" s="2629">
        <f>+H21+L21+-4000</f>
        <v>24044</v>
      </c>
      <c r="J21" s="2621">
        <f>+I21+L21+-4000</f>
        <v>20044</v>
      </c>
      <c r="K21" s="2621">
        <f>+J21+L21</f>
        <v>20044</v>
      </c>
      <c r="L21" s="1464"/>
      <c r="M21" s="1464"/>
    </row>
    <row r="22" spans="1:13" ht="11.25" customHeight="1" x14ac:dyDescent="0.25">
      <c r="A22" s="1539" t="str">
        <f>$A$10</f>
        <v>Minimum Service Level and Above sub-total</v>
      </c>
      <c r="B22" s="1129"/>
      <c r="C22" s="2485">
        <f>SUM(C17:C21)</f>
        <v>96058</v>
      </c>
      <c r="D22" s="2485">
        <f t="shared" ref="D22:K22" si="3">SUM(D17:D21)</f>
        <v>0</v>
      </c>
      <c r="E22" s="2486">
        <f t="shared" si="3"/>
        <v>159092</v>
      </c>
      <c r="F22" s="2487">
        <f t="shared" si="3"/>
        <v>92638</v>
      </c>
      <c r="G22" s="2485">
        <f t="shared" si="3"/>
        <v>92638</v>
      </c>
      <c r="H22" s="2488">
        <f t="shared" si="3"/>
        <v>151262</v>
      </c>
      <c r="I22" s="2489">
        <f t="shared" si="3"/>
        <v>144923</v>
      </c>
      <c r="J22" s="2485">
        <f t="shared" si="3"/>
        <v>148935</v>
      </c>
      <c r="K22" s="2486">
        <f t="shared" si="3"/>
        <v>148435</v>
      </c>
      <c r="L22" s="1464"/>
      <c r="M22" s="1464"/>
    </row>
    <row r="23" spans="1:13" ht="11.25" customHeight="1" x14ac:dyDescent="0.25">
      <c r="A23" s="1136" t="s">
        <v>242</v>
      </c>
      <c r="B23" s="1129"/>
      <c r="C23" s="1661"/>
      <c r="D23" s="1661"/>
      <c r="E23" s="2621">
        <v>1585</v>
      </c>
      <c r="F23" s="2484"/>
      <c r="G23" s="1661"/>
      <c r="H23" s="2627">
        <v>0</v>
      </c>
      <c r="I23" s="2627">
        <v>0</v>
      </c>
      <c r="J23" s="2627">
        <v>0</v>
      </c>
      <c r="K23" s="2627">
        <v>0</v>
      </c>
      <c r="L23" s="1464"/>
      <c r="M23" s="1464"/>
    </row>
    <row r="24" spans="1:13" ht="11.25" customHeight="1" x14ac:dyDescent="0.25">
      <c r="A24" s="1136" t="s">
        <v>1233</v>
      </c>
      <c r="B24" s="1129"/>
      <c r="C24" s="1661"/>
      <c r="D24" s="1661"/>
      <c r="E24" s="2621"/>
      <c r="F24" s="2484"/>
      <c r="G24" s="1661"/>
      <c r="H24" s="2628"/>
      <c r="I24" s="2628"/>
      <c r="J24" s="2628"/>
      <c r="K24" s="2628"/>
      <c r="L24" s="1464"/>
      <c r="M24" s="1464"/>
    </row>
    <row r="25" spans="1:13" ht="11.25" customHeight="1" x14ac:dyDescent="0.25">
      <c r="A25" s="1136" t="s">
        <v>1397</v>
      </c>
      <c r="B25" s="1129"/>
      <c r="C25" s="1661"/>
      <c r="D25" s="1661"/>
      <c r="E25" s="2621">
        <v>3316</v>
      </c>
      <c r="F25" s="2484"/>
      <c r="G25" s="1661"/>
      <c r="H25" s="2627">
        <v>0</v>
      </c>
      <c r="I25" s="2627">
        <v>0</v>
      </c>
      <c r="J25" s="2627">
        <v>0</v>
      </c>
      <c r="K25" s="2627">
        <v>0</v>
      </c>
      <c r="L25" s="1464"/>
      <c r="M25" s="1464"/>
    </row>
    <row r="26" spans="1:13" ht="11.25" customHeight="1" x14ac:dyDescent="0.25">
      <c r="A26" s="1539" t="str">
        <f>$A$14</f>
        <v>Below Minimum Service Level sub-total</v>
      </c>
      <c r="B26" s="1129"/>
      <c r="C26" s="2490">
        <f>SUM(C23:C25)</f>
        <v>0</v>
      </c>
      <c r="D26" s="2490">
        <f t="shared" ref="D26:K26" si="4">SUM(D23:D25)</f>
        <v>0</v>
      </c>
      <c r="E26" s="2491">
        <f t="shared" si="4"/>
        <v>4901</v>
      </c>
      <c r="F26" s="2492">
        <f t="shared" si="4"/>
        <v>0</v>
      </c>
      <c r="G26" s="2490">
        <f t="shared" si="4"/>
        <v>0</v>
      </c>
      <c r="H26" s="2493">
        <f t="shared" si="4"/>
        <v>0</v>
      </c>
      <c r="I26" s="2494">
        <f t="shared" si="4"/>
        <v>0</v>
      </c>
      <c r="J26" s="2490">
        <f t="shared" si="4"/>
        <v>0</v>
      </c>
      <c r="K26" s="2491">
        <f t="shared" si="4"/>
        <v>0</v>
      </c>
      <c r="L26" s="1464"/>
      <c r="M26" s="1464"/>
    </row>
    <row r="27" spans="1:13" ht="11.25" customHeight="1" x14ac:dyDescent="0.25">
      <c r="A27" s="1137" t="str">
        <f>$A$15</f>
        <v>Total number of households</v>
      </c>
      <c r="B27" s="1129">
        <f>$B$15</f>
        <v>5</v>
      </c>
      <c r="C27" s="2495">
        <f>C22+C26</f>
        <v>96058</v>
      </c>
      <c r="D27" s="2495">
        <f t="shared" ref="D27:K27" si="5">D22+D26</f>
        <v>0</v>
      </c>
      <c r="E27" s="2496">
        <f t="shared" si="5"/>
        <v>163993</v>
      </c>
      <c r="F27" s="2497">
        <f t="shared" si="5"/>
        <v>92638</v>
      </c>
      <c r="G27" s="2495">
        <f t="shared" si="5"/>
        <v>92638</v>
      </c>
      <c r="H27" s="2498">
        <f t="shared" si="5"/>
        <v>151262</v>
      </c>
      <c r="I27" s="2499">
        <f t="shared" si="5"/>
        <v>144923</v>
      </c>
      <c r="J27" s="2495">
        <f t="shared" si="5"/>
        <v>148935</v>
      </c>
      <c r="K27" s="2496">
        <f t="shared" si="5"/>
        <v>148435</v>
      </c>
      <c r="L27" s="1464"/>
      <c r="M27" s="1464"/>
    </row>
    <row r="28" spans="1:13" s="2508" customFormat="1" ht="15.75" customHeight="1" x14ac:dyDescent="0.25">
      <c r="A28" s="1135" t="s">
        <v>687</v>
      </c>
      <c r="B28" s="1129"/>
      <c r="C28" s="2479"/>
      <c r="D28" s="2479"/>
      <c r="E28" s="2480"/>
      <c r="F28" s="2481"/>
      <c r="G28" s="2479"/>
      <c r="H28" s="2482"/>
      <c r="I28" s="2483"/>
      <c r="J28" s="2479"/>
      <c r="K28" s="2480"/>
      <c r="L28" s="2507"/>
      <c r="M28" s="2507"/>
    </row>
    <row r="29" spans="1:13" ht="11.25" customHeight="1" x14ac:dyDescent="0.25">
      <c r="A29" s="1136" t="s">
        <v>1234</v>
      </c>
      <c r="B29" s="1129"/>
      <c r="C29" s="1661">
        <v>50000</v>
      </c>
      <c r="D29" s="1661"/>
      <c r="E29" s="1662"/>
      <c r="F29" s="1661">
        <v>44000</v>
      </c>
      <c r="G29" s="1661">
        <v>44000</v>
      </c>
      <c r="H29" s="1661">
        <v>44000</v>
      </c>
      <c r="I29" s="1661">
        <v>44500</v>
      </c>
      <c r="J29" s="1662">
        <v>45000</v>
      </c>
      <c r="K29" s="1662">
        <v>49950</v>
      </c>
      <c r="L29" s="1464"/>
      <c r="M29" s="1464"/>
    </row>
    <row r="30" spans="1:13" ht="11.25" customHeight="1" x14ac:dyDescent="0.25">
      <c r="A30" s="1136" t="s">
        <v>506</v>
      </c>
      <c r="B30" s="1129"/>
      <c r="C30" s="1661"/>
      <c r="D30" s="1661"/>
      <c r="E30" s="1662"/>
      <c r="F30" s="1661">
        <v>20000</v>
      </c>
      <c r="G30" s="1661">
        <v>20000</v>
      </c>
      <c r="H30" s="1661">
        <v>20000</v>
      </c>
      <c r="I30" s="1661">
        <v>21000</v>
      </c>
      <c r="J30" s="1662">
        <v>22000</v>
      </c>
      <c r="K30" s="1662">
        <v>23034</v>
      </c>
      <c r="L30" s="1464"/>
      <c r="M30" s="1464"/>
    </row>
    <row r="31" spans="1:13" ht="11.25" customHeight="1" x14ac:dyDescent="0.25">
      <c r="A31" s="1539" t="str">
        <f>$A$10</f>
        <v>Minimum Service Level and Above sub-total</v>
      </c>
      <c r="B31" s="1129"/>
      <c r="C31" s="2485">
        <f>SUM(C29:C30)</f>
        <v>50000</v>
      </c>
      <c r="D31" s="2485">
        <f t="shared" ref="D31:K31" si="6">SUM(D29:D30)</f>
        <v>0</v>
      </c>
      <c r="E31" s="2486">
        <f t="shared" si="6"/>
        <v>0</v>
      </c>
      <c r="F31" s="2487">
        <f t="shared" si="6"/>
        <v>64000</v>
      </c>
      <c r="G31" s="2485">
        <f t="shared" si="6"/>
        <v>64000</v>
      </c>
      <c r="H31" s="2488">
        <f t="shared" si="6"/>
        <v>64000</v>
      </c>
      <c r="I31" s="2489">
        <f t="shared" si="6"/>
        <v>65500</v>
      </c>
      <c r="J31" s="2485">
        <f t="shared" si="6"/>
        <v>67000</v>
      </c>
      <c r="K31" s="2486">
        <f t="shared" si="6"/>
        <v>72984</v>
      </c>
      <c r="L31" s="1464"/>
      <c r="M31" s="1464"/>
    </row>
    <row r="32" spans="1:13" ht="11.25" customHeight="1" x14ac:dyDescent="0.25">
      <c r="A32" s="1136" t="s">
        <v>507</v>
      </c>
      <c r="B32" s="1129"/>
      <c r="C32" s="1661"/>
      <c r="D32" s="1661"/>
      <c r="E32" s="1662"/>
      <c r="F32" s="2484"/>
      <c r="G32" s="1661"/>
      <c r="H32" s="1664"/>
      <c r="I32" s="1665"/>
      <c r="J32" s="1661"/>
      <c r="K32" s="1662"/>
      <c r="L32" s="1464"/>
      <c r="M32" s="1464"/>
    </row>
    <row r="33" spans="1:13" ht="11.25" customHeight="1" x14ac:dyDescent="0.25">
      <c r="A33" s="1136" t="s">
        <v>508</v>
      </c>
      <c r="B33" s="1129"/>
      <c r="C33" s="1661"/>
      <c r="D33" s="1661"/>
      <c r="E33" s="1662"/>
      <c r="F33" s="2484"/>
      <c r="G33" s="1661"/>
      <c r="H33" s="1664"/>
      <c r="I33" s="1665"/>
      <c r="J33" s="1661"/>
      <c r="K33" s="1662"/>
      <c r="L33" s="1464"/>
      <c r="M33" s="1464"/>
    </row>
    <row r="34" spans="1:13" ht="11.25" customHeight="1" x14ac:dyDescent="0.25">
      <c r="A34" s="1136" t="s">
        <v>688</v>
      </c>
      <c r="B34" s="1129"/>
      <c r="C34" s="1661"/>
      <c r="D34" s="1661"/>
      <c r="E34" s="1662"/>
      <c r="F34" s="2484"/>
      <c r="G34" s="1661"/>
      <c r="H34" s="1664"/>
      <c r="I34" s="1665"/>
      <c r="J34" s="1661"/>
      <c r="K34" s="1662"/>
      <c r="L34" s="1464"/>
      <c r="M34" s="1464"/>
    </row>
    <row r="35" spans="1:13" ht="11.25" customHeight="1" x14ac:dyDescent="0.25">
      <c r="A35" s="1539" t="str">
        <f>$A$14</f>
        <v>Below Minimum Service Level sub-total</v>
      </c>
      <c r="B35" s="1129"/>
      <c r="C35" s="2490">
        <f>SUM(C32:C34)</f>
        <v>0</v>
      </c>
      <c r="D35" s="2490">
        <f t="shared" ref="D35:K35" si="7">SUM(D32:D34)</f>
        <v>0</v>
      </c>
      <c r="E35" s="2491">
        <f t="shared" si="7"/>
        <v>0</v>
      </c>
      <c r="F35" s="2492">
        <f t="shared" si="7"/>
        <v>0</v>
      </c>
      <c r="G35" s="2490">
        <f t="shared" si="7"/>
        <v>0</v>
      </c>
      <c r="H35" s="2493">
        <f t="shared" si="7"/>
        <v>0</v>
      </c>
      <c r="I35" s="2494">
        <f t="shared" si="7"/>
        <v>0</v>
      </c>
      <c r="J35" s="2490">
        <f t="shared" si="7"/>
        <v>0</v>
      </c>
      <c r="K35" s="2491">
        <f t="shared" si="7"/>
        <v>0</v>
      </c>
      <c r="L35" s="1464"/>
      <c r="M35" s="1464"/>
    </row>
    <row r="36" spans="1:13" ht="11.25" customHeight="1" x14ac:dyDescent="0.25">
      <c r="A36" s="1137" t="str">
        <f>$A$15</f>
        <v>Total number of households</v>
      </c>
      <c r="B36" s="1129">
        <f>$B$15</f>
        <v>5</v>
      </c>
      <c r="C36" s="2495">
        <f>C31+C35</f>
        <v>50000</v>
      </c>
      <c r="D36" s="2495">
        <f t="shared" ref="D36:K36" si="8">D31+D35</f>
        <v>0</v>
      </c>
      <c r="E36" s="2496">
        <f t="shared" si="8"/>
        <v>0</v>
      </c>
      <c r="F36" s="2497">
        <f t="shared" si="8"/>
        <v>64000</v>
      </c>
      <c r="G36" s="2495">
        <f t="shared" si="8"/>
        <v>64000</v>
      </c>
      <c r="H36" s="2498">
        <f t="shared" si="8"/>
        <v>64000</v>
      </c>
      <c r="I36" s="2499">
        <f t="shared" si="8"/>
        <v>65500</v>
      </c>
      <c r="J36" s="2495">
        <f t="shared" si="8"/>
        <v>67000</v>
      </c>
      <c r="K36" s="2496">
        <f t="shared" si="8"/>
        <v>72984</v>
      </c>
      <c r="L36" s="1464"/>
      <c r="M36" s="1464"/>
    </row>
    <row r="37" spans="1:13" s="2508" customFormat="1" ht="15.75" customHeight="1" x14ac:dyDescent="0.25">
      <c r="A37" s="1135" t="s">
        <v>691</v>
      </c>
      <c r="B37" s="1129"/>
      <c r="C37" s="2479"/>
      <c r="D37" s="2479"/>
      <c r="E37" s="2480"/>
      <c r="F37" s="2481"/>
      <c r="G37" s="2479"/>
      <c r="H37" s="2482"/>
      <c r="I37" s="2483"/>
      <c r="J37" s="2479"/>
      <c r="K37" s="2480"/>
      <c r="L37" s="2507"/>
      <c r="M37" s="2507"/>
    </row>
    <row r="38" spans="1:13" ht="11.25" customHeight="1" x14ac:dyDescent="0.25">
      <c r="A38" s="1136" t="s">
        <v>743</v>
      </c>
      <c r="B38" s="1129"/>
      <c r="C38" s="1669">
        <v>63777</v>
      </c>
      <c r="D38" s="1670">
        <v>89910</v>
      </c>
      <c r="E38" s="1670"/>
      <c r="F38" s="1669">
        <v>70000</v>
      </c>
      <c r="G38" s="1669">
        <v>70000</v>
      </c>
      <c r="H38" s="1669">
        <v>70000</v>
      </c>
      <c r="I38" s="1669">
        <v>89910</v>
      </c>
      <c r="J38" s="1670">
        <v>110000</v>
      </c>
      <c r="K38" s="1670">
        <v>124200</v>
      </c>
      <c r="L38" s="1464"/>
      <c r="M38" s="1464"/>
    </row>
    <row r="39" spans="1:13" ht="11.25" customHeight="1" x14ac:dyDescent="0.25">
      <c r="A39" s="1539" t="str">
        <f>$A$10</f>
        <v>Minimum Service Level and Above sub-total</v>
      </c>
      <c r="B39" s="1129"/>
      <c r="C39" s="2500">
        <f>SUM(C38)</f>
        <v>63777</v>
      </c>
      <c r="D39" s="2500">
        <f t="shared" ref="D39:K39" si="9">SUM(D38)</f>
        <v>89910</v>
      </c>
      <c r="E39" s="2501">
        <f t="shared" si="9"/>
        <v>0</v>
      </c>
      <c r="F39" s="2502">
        <f t="shared" si="9"/>
        <v>70000</v>
      </c>
      <c r="G39" s="2500">
        <f t="shared" si="9"/>
        <v>70000</v>
      </c>
      <c r="H39" s="2503">
        <f t="shared" si="9"/>
        <v>70000</v>
      </c>
      <c r="I39" s="2504">
        <f t="shared" si="9"/>
        <v>89910</v>
      </c>
      <c r="J39" s="2500">
        <f t="shared" si="9"/>
        <v>110000</v>
      </c>
      <c r="K39" s="2501">
        <f t="shared" si="9"/>
        <v>124200</v>
      </c>
      <c r="L39" s="1464"/>
      <c r="M39" s="1464"/>
    </row>
    <row r="40" spans="1:13" ht="11.25" customHeight="1" x14ac:dyDescent="0.25">
      <c r="A40" s="1136" t="s">
        <v>692</v>
      </c>
      <c r="B40" s="1129"/>
      <c r="C40" s="1661">
        <v>20947.5</v>
      </c>
      <c r="D40" s="1662">
        <v>19000</v>
      </c>
      <c r="E40" s="1662"/>
      <c r="F40" s="1661">
        <v>38910</v>
      </c>
      <c r="G40" s="1661">
        <v>38910</v>
      </c>
      <c r="H40" s="1661">
        <v>38910</v>
      </c>
      <c r="I40" s="1661">
        <v>29000</v>
      </c>
      <c r="J40" s="1662">
        <v>0</v>
      </c>
      <c r="K40" s="1662"/>
      <c r="L40" s="1464"/>
      <c r="M40" s="1464"/>
    </row>
    <row r="41" spans="1:13" ht="11.25" customHeight="1" x14ac:dyDescent="0.25">
      <c r="A41" s="1136" t="s">
        <v>693</v>
      </c>
      <c r="B41" s="1129"/>
      <c r="C41" s="1661"/>
      <c r="D41" s="1662"/>
      <c r="E41" s="1662"/>
      <c r="F41" s="1661"/>
      <c r="G41" s="1661"/>
      <c r="H41" s="1661"/>
      <c r="I41" s="1661"/>
      <c r="J41" s="1662"/>
      <c r="K41" s="1662"/>
      <c r="L41" s="1464"/>
      <c r="M41" s="1464"/>
    </row>
    <row r="42" spans="1:13" ht="11.25" customHeight="1" x14ac:dyDescent="0.25">
      <c r="A42" s="1136" t="s">
        <v>883</v>
      </c>
      <c r="B42" s="1129"/>
      <c r="C42" s="1661"/>
      <c r="D42" s="1662"/>
      <c r="E42" s="1662"/>
      <c r="F42" s="1661"/>
      <c r="G42" s="1661"/>
      <c r="H42" s="1661"/>
      <c r="I42" s="1661"/>
      <c r="J42" s="1662"/>
      <c r="K42" s="1662"/>
      <c r="L42" s="1464"/>
      <c r="M42" s="1464"/>
    </row>
    <row r="43" spans="1:13" ht="11.25" customHeight="1" x14ac:dyDescent="0.25">
      <c r="A43" s="1136" t="s">
        <v>884</v>
      </c>
      <c r="B43" s="1129"/>
      <c r="C43" s="1661"/>
      <c r="D43" s="1662"/>
      <c r="E43" s="1662"/>
      <c r="F43" s="1661"/>
      <c r="G43" s="1661"/>
      <c r="H43" s="1661"/>
      <c r="I43" s="1661"/>
      <c r="J43" s="1662"/>
      <c r="K43" s="1662"/>
      <c r="L43" s="1464"/>
      <c r="M43" s="1464"/>
    </row>
    <row r="44" spans="1:13" ht="11.25" customHeight="1" x14ac:dyDescent="0.25">
      <c r="A44" s="1136" t="s">
        <v>198</v>
      </c>
      <c r="B44" s="1129"/>
      <c r="C44" s="1661">
        <v>37275</v>
      </c>
      <c r="D44" s="1662">
        <v>35090</v>
      </c>
      <c r="E44" s="1662"/>
      <c r="F44" s="1661">
        <v>35090</v>
      </c>
      <c r="G44" s="1661">
        <v>35090</v>
      </c>
      <c r="H44" s="1661">
        <v>35090</v>
      </c>
      <c r="I44" s="1661">
        <v>25090</v>
      </c>
      <c r="J44" s="1662">
        <v>34000</v>
      </c>
      <c r="K44" s="1662">
        <v>19800</v>
      </c>
      <c r="L44" s="1464"/>
      <c r="M44" s="1464"/>
    </row>
    <row r="45" spans="1:13" ht="11.25" customHeight="1" x14ac:dyDescent="0.25">
      <c r="A45" s="1539" t="str">
        <f>$A$14</f>
        <v>Below Minimum Service Level sub-total</v>
      </c>
      <c r="B45" s="1129"/>
      <c r="C45" s="2490">
        <f t="shared" ref="C45:K45" si="10">SUM(C40:C44)</f>
        <v>58222.5</v>
      </c>
      <c r="D45" s="2490">
        <f t="shared" si="10"/>
        <v>54090</v>
      </c>
      <c r="E45" s="2491">
        <f t="shared" si="10"/>
        <v>0</v>
      </c>
      <c r="F45" s="2492">
        <f t="shared" si="10"/>
        <v>74000</v>
      </c>
      <c r="G45" s="2490">
        <f t="shared" si="10"/>
        <v>74000</v>
      </c>
      <c r="H45" s="2493">
        <f t="shared" si="10"/>
        <v>74000</v>
      </c>
      <c r="I45" s="2494">
        <f t="shared" si="10"/>
        <v>54090</v>
      </c>
      <c r="J45" s="2490">
        <f t="shared" si="10"/>
        <v>34000</v>
      </c>
      <c r="K45" s="2491">
        <f t="shared" si="10"/>
        <v>19800</v>
      </c>
      <c r="L45" s="1464"/>
      <c r="M45" s="1464"/>
    </row>
    <row r="46" spans="1:13" ht="11.25" customHeight="1" x14ac:dyDescent="0.25">
      <c r="A46" s="1137" t="str">
        <f>$A$15</f>
        <v>Total number of households</v>
      </c>
      <c r="B46" s="1129">
        <f>$B$15</f>
        <v>5</v>
      </c>
      <c r="C46" s="2495">
        <f>C39+C45</f>
        <v>121999.5</v>
      </c>
      <c r="D46" s="2495">
        <f t="shared" ref="D46:K46" si="11">D39+D45</f>
        <v>144000</v>
      </c>
      <c r="E46" s="2496">
        <f t="shared" si="11"/>
        <v>0</v>
      </c>
      <c r="F46" s="2497">
        <f t="shared" si="11"/>
        <v>144000</v>
      </c>
      <c r="G46" s="2495">
        <f t="shared" si="11"/>
        <v>144000</v>
      </c>
      <c r="H46" s="2498">
        <f t="shared" si="11"/>
        <v>144000</v>
      </c>
      <c r="I46" s="2499">
        <f t="shared" si="11"/>
        <v>144000</v>
      </c>
      <c r="J46" s="2495">
        <f t="shared" si="11"/>
        <v>144000</v>
      </c>
      <c r="K46" s="2496">
        <f t="shared" si="11"/>
        <v>144000</v>
      </c>
      <c r="L46" s="1464"/>
      <c r="M46" s="1464"/>
    </row>
    <row r="47" spans="1:13" ht="5.15" customHeight="1" x14ac:dyDescent="0.25">
      <c r="A47" s="1140"/>
      <c r="B47" s="1141"/>
      <c r="C47" s="1142"/>
      <c r="D47" s="1142"/>
      <c r="E47" s="1143"/>
      <c r="F47" s="1144"/>
      <c r="G47" s="1142"/>
      <c r="H47" s="1145"/>
      <c r="I47" s="1146"/>
      <c r="J47" s="1142"/>
      <c r="K47" s="1143"/>
      <c r="L47" s="1464"/>
      <c r="M47" s="1464"/>
    </row>
    <row r="48" spans="1:13" ht="15.75" customHeight="1" x14ac:dyDescent="0.25">
      <c r="A48" s="1128" t="s">
        <v>199</v>
      </c>
      <c r="B48" s="1129">
        <v>7</v>
      </c>
      <c r="C48" s="1063"/>
      <c r="D48" s="1063"/>
      <c r="E48" s="1147"/>
      <c r="F48" s="1111"/>
      <c r="G48" s="1063"/>
      <c r="H48" s="1066"/>
      <c r="I48" s="1067"/>
      <c r="J48" s="1063"/>
      <c r="K48" s="1064"/>
      <c r="L48" s="1464"/>
      <c r="M48" s="1464"/>
    </row>
    <row r="49" spans="1:13" ht="11.25" customHeight="1" x14ac:dyDescent="0.25">
      <c r="A49" s="1136" t="s">
        <v>1311</v>
      </c>
      <c r="B49" s="1129"/>
      <c r="C49" s="1661">
        <v>18141</v>
      </c>
      <c r="D49" s="1661"/>
      <c r="E49" s="1895"/>
      <c r="F49" s="1661">
        <v>20119</v>
      </c>
      <c r="G49" s="1661">
        <v>20119</v>
      </c>
      <c r="H49" s="1661">
        <v>20119</v>
      </c>
      <c r="I49" s="1661">
        <v>21125</v>
      </c>
      <c r="J49" s="1895">
        <v>21760</v>
      </c>
      <c r="K49" s="1895">
        <v>22630</v>
      </c>
      <c r="L49" s="1464"/>
      <c r="M49" s="1464"/>
    </row>
    <row r="50" spans="1:13" ht="11.25" customHeight="1" x14ac:dyDescent="0.25">
      <c r="A50" s="1136" t="s">
        <v>376</v>
      </c>
      <c r="B50" s="1129"/>
      <c r="C50" s="1661">
        <v>16244</v>
      </c>
      <c r="D50" s="1661"/>
      <c r="E50" s="1895"/>
      <c r="F50" s="1661">
        <v>20119</v>
      </c>
      <c r="G50" s="1661">
        <v>20119</v>
      </c>
      <c r="H50" s="1661">
        <v>20119</v>
      </c>
      <c r="I50" s="1661">
        <v>21125</v>
      </c>
      <c r="J50" s="1895">
        <v>21760</v>
      </c>
      <c r="K50" s="1895">
        <v>22630</v>
      </c>
      <c r="L50" s="1464"/>
      <c r="M50" s="1464"/>
    </row>
    <row r="51" spans="1:13" ht="11.25" customHeight="1" x14ac:dyDescent="0.25">
      <c r="A51" s="1136" t="s">
        <v>1313</v>
      </c>
      <c r="B51" s="1129"/>
      <c r="C51" s="1661">
        <v>7309</v>
      </c>
      <c r="D51" s="1661"/>
      <c r="E51" s="1895"/>
      <c r="F51" s="1661"/>
      <c r="G51" s="1661"/>
      <c r="H51" s="1661"/>
      <c r="I51" s="1661"/>
      <c r="J51" s="1895"/>
      <c r="K51" s="1895"/>
      <c r="L51" s="1464"/>
      <c r="M51" s="1464"/>
    </row>
    <row r="52" spans="1:13" ht="11.25" customHeight="1" x14ac:dyDescent="0.25">
      <c r="A52" s="1334" t="s">
        <v>377</v>
      </c>
      <c r="B52" s="1141"/>
      <c r="C52" s="1669">
        <v>15100</v>
      </c>
      <c r="D52" s="1669"/>
      <c r="E52" s="2514"/>
      <c r="F52" s="1669">
        <v>20119</v>
      </c>
      <c r="G52" s="1669">
        <v>20119</v>
      </c>
      <c r="H52" s="1669">
        <v>20119</v>
      </c>
      <c r="I52" s="1669">
        <v>21125</v>
      </c>
      <c r="J52" s="2514">
        <v>21760</v>
      </c>
      <c r="K52" s="1895">
        <v>22630</v>
      </c>
      <c r="L52" s="1464"/>
      <c r="M52" s="1464"/>
    </row>
    <row r="53" spans="1:13" ht="4.5" customHeight="1" x14ac:dyDescent="0.25">
      <c r="A53" s="1149"/>
      <c r="B53" s="1129"/>
      <c r="C53" s="1063"/>
      <c r="D53" s="1063"/>
      <c r="E53" s="1150"/>
      <c r="F53" s="1067"/>
      <c r="G53" s="1063"/>
      <c r="H53" s="1066"/>
      <c r="I53" s="1067"/>
      <c r="J53" s="1063"/>
      <c r="K53" s="1150"/>
      <c r="L53" s="1464"/>
      <c r="M53" s="1464"/>
    </row>
    <row r="54" spans="1:13" ht="11.25" customHeight="1" x14ac:dyDescent="0.25">
      <c r="A54" s="1335" t="s">
        <v>391</v>
      </c>
      <c r="B54" s="1129">
        <v>8</v>
      </c>
      <c r="C54" s="1614">
        <v>7807717</v>
      </c>
      <c r="D54" s="1614"/>
      <c r="E54" s="1634"/>
      <c r="F54" s="1635"/>
      <c r="G54" s="1614"/>
      <c r="H54" s="1636"/>
      <c r="I54" s="1616"/>
      <c r="J54" s="1614"/>
      <c r="K54" s="1634"/>
      <c r="L54" s="1464"/>
      <c r="M54" s="1464"/>
    </row>
    <row r="55" spans="1:13" ht="11.25" customHeight="1" x14ac:dyDescent="0.25">
      <c r="A55" s="1136" t="s">
        <v>1311</v>
      </c>
      <c r="B55" s="1129"/>
      <c r="C55" s="1614">
        <v>15266626</v>
      </c>
      <c r="D55" s="1614"/>
      <c r="E55" s="1634"/>
      <c r="F55" s="1635"/>
      <c r="G55" s="1614"/>
      <c r="H55" s="1636"/>
      <c r="I55" s="1616"/>
      <c r="J55" s="1614"/>
      <c r="K55" s="1634"/>
      <c r="L55" s="1464"/>
      <c r="M55" s="1464"/>
    </row>
    <row r="56" spans="1:13" ht="11.25" customHeight="1" x14ac:dyDescent="0.25">
      <c r="A56" s="1136" t="s">
        <v>1312</v>
      </c>
      <c r="B56" s="1129"/>
      <c r="C56" s="1614">
        <v>8644666</v>
      </c>
      <c r="D56" s="1614"/>
      <c r="E56" s="1634"/>
      <c r="F56" s="1635"/>
      <c r="G56" s="1614"/>
      <c r="H56" s="1636"/>
      <c r="I56" s="1616"/>
      <c r="J56" s="1614"/>
      <c r="K56" s="1634"/>
      <c r="L56" s="1464"/>
      <c r="M56" s="1464"/>
    </row>
    <row r="57" spans="1:13" ht="11.25" customHeight="1" x14ac:dyDescent="0.25">
      <c r="A57" s="1136" t="s">
        <v>1313</v>
      </c>
      <c r="B57" s="1129"/>
      <c r="C57" s="1614">
        <v>7526270</v>
      </c>
      <c r="D57" s="1614"/>
      <c r="E57" s="1634"/>
      <c r="F57" s="1635"/>
      <c r="G57" s="1614"/>
      <c r="H57" s="1636"/>
      <c r="I57" s="1616"/>
      <c r="J57" s="1614"/>
      <c r="K57" s="1634"/>
      <c r="L57" s="1464"/>
      <c r="M57" s="1464"/>
    </row>
    <row r="58" spans="1:13" ht="11.25" customHeight="1" x14ac:dyDescent="0.25">
      <c r="A58" s="1136" t="s">
        <v>1314</v>
      </c>
      <c r="B58" s="1129"/>
      <c r="C58" s="1614"/>
      <c r="D58" s="1614"/>
      <c r="E58" s="1634"/>
      <c r="F58" s="1635"/>
      <c r="G58" s="1614"/>
      <c r="H58" s="1636"/>
      <c r="I58" s="1616"/>
      <c r="J58" s="1614"/>
      <c r="K58" s="1634"/>
      <c r="L58" s="1464"/>
      <c r="M58" s="1464"/>
    </row>
    <row r="59" spans="1:13" ht="11.25" customHeight="1" x14ac:dyDescent="0.25">
      <c r="A59" s="1336" t="s">
        <v>744</v>
      </c>
      <c r="B59" s="1141"/>
      <c r="C59" s="1337">
        <f>SUM(C54:C58)</f>
        <v>39245279</v>
      </c>
      <c r="D59" s="1337">
        <f t="shared" ref="D59:K59" si="12">SUM(D54:D58)</f>
        <v>0</v>
      </c>
      <c r="E59" s="1338">
        <f t="shared" si="12"/>
        <v>0</v>
      </c>
      <c r="F59" s="1339">
        <f t="shared" si="12"/>
        <v>0</v>
      </c>
      <c r="G59" s="1337">
        <f t="shared" si="12"/>
        <v>0</v>
      </c>
      <c r="H59" s="1340">
        <f t="shared" si="12"/>
        <v>0</v>
      </c>
      <c r="I59" s="1341">
        <f t="shared" si="12"/>
        <v>0</v>
      </c>
      <c r="J59" s="1337">
        <f t="shared" si="12"/>
        <v>0</v>
      </c>
      <c r="K59" s="1338">
        <f t="shared" si="12"/>
        <v>0</v>
      </c>
      <c r="L59" s="1464"/>
      <c r="M59" s="1464"/>
    </row>
    <row r="60" spans="1:13" ht="3.75" customHeight="1" x14ac:dyDescent="0.25">
      <c r="A60" s="1188"/>
      <c r="B60" s="1129"/>
      <c r="C60" s="1130"/>
      <c r="D60" s="1130"/>
      <c r="E60" s="1131"/>
      <c r="F60" s="1132"/>
      <c r="G60" s="1130"/>
      <c r="H60" s="1133"/>
      <c r="I60" s="1134"/>
      <c r="J60" s="1130"/>
      <c r="K60" s="1131"/>
      <c r="L60" s="1464"/>
      <c r="M60" s="1464"/>
    </row>
    <row r="61" spans="1:13" ht="11.25" customHeight="1" x14ac:dyDescent="0.25">
      <c r="A61" s="1128" t="s">
        <v>741</v>
      </c>
      <c r="B61" s="1129"/>
      <c r="C61" s="1063"/>
      <c r="D61" s="1063"/>
      <c r="E61" s="1064"/>
      <c r="F61" s="1065"/>
      <c r="G61" s="1063"/>
      <c r="H61" s="1066"/>
      <c r="I61" s="1067"/>
      <c r="J61" s="1063"/>
      <c r="K61" s="1064"/>
      <c r="L61" s="1464"/>
      <c r="M61" s="1464"/>
    </row>
    <row r="62" spans="1:13" ht="11.25" customHeight="1" x14ac:dyDescent="0.25">
      <c r="A62" s="1136" t="s">
        <v>1903</v>
      </c>
      <c r="B62" s="1129"/>
      <c r="C62" s="1661">
        <v>130000</v>
      </c>
      <c r="D62" s="1661"/>
      <c r="E62" s="1662"/>
      <c r="F62" s="2617">
        <v>150000</v>
      </c>
      <c r="G62" s="2617">
        <v>150000</v>
      </c>
      <c r="H62" s="2617">
        <v>150000</v>
      </c>
      <c r="I62" s="1661">
        <v>150000</v>
      </c>
      <c r="J62" s="1662">
        <v>150000</v>
      </c>
      <c r="K62" s="1662">
        <v>150000</v>
      </c>
      <c r="L62" s="1464"/>
      <c r="M62" s="1464"/>
    </row>
    <row r="63" spans="1:13" ht="11.25" customHeight="1" x14ac:dyDescent="0.25">
      <c r="A63" s="1136" t="s">
        <v>1398</v>
      </c>
      <c r="B63" s="1129"/>
      <c r="C63" s="1666">
        <v>6</v>
      </c>
      <c r="D63" s="1666"/>
      <c r="E63" s="1667"/>
      <c r="F63" s="2617">
        <v>6</v>
      </c>
      <c r="G63" s="2617">
        <v>6</v>
      </c>
      <c r="H63" s="2617">
        <v>6</v>
      </c>
      <c r="I63" s="1661">
        <v>6</v>
      </c>
      <c r="J63" s="1662">
        <v>6</v>
      </c>
      <c r="K63" s="1662">
        <v>6</v>
      </c>
      <c r="L63" s="1464"/>
      <c r="M63" s="1464"/>
    </row>
    <row r="64" spans="1:13" ht="11.25" customHeight="1" x14ac:dyDescent="0.25">
      <c r="A64" s="1136" t="s">
        <v>1399</v>
      </c>
      <c r="B64" s="1129"/>
      <c r="C64" s="1661"/>
      <c r="D64" s="1661"/>
      <c r="E64" s="1662"/>
      <c r="F64" s="2617">
        <v>0</v>
      </c>
      <c r="G64" s="2617">
        <v>0</v>
      </c>
      <c r="H64" s="2617">
        <v>0</v>
      </c>
      <c r="I64" s="1661">
        <v>0</v>
      </c>
      <c r="J64" s="1662">
        <v>0</v>
      </c>
      <c r="K64" s="1662"/>
      <c r="L64" s="1464"/>
      <c r="M64" s="1464"/>
    </row>
    <row r="65" spans="1:13" ht="11.25" customHeight="1" x14ac:dyDescent="0.25">
      <c r="A65" s="1136" t="s">
        <v>686</v>
      </c>
      <c r="B65" s="1129"/>
      <c r="C65" s="1661">
        <v>43.72</v>
      </c>
      <c r="D65" s="1661"/>
      <c r="E65" s="1662"/>
      <c r="F65" s="2617">
        <v>0</v>
      </c>
      <c r="G65" s="2617">
        <v>0</v>
      </c>
      <c r="H65" s="2617">
        <v>0</v>
      </c>
      <c r="I65" s="1661">
        <v>0</v>
      </c>
      <c r="J65" s="1662">
        <v>0</v>
      </c>
      <c r="K65" s="1662"/>
      <c r="L65" s="1464"/>
      <c r="M65" s="1464"/>
    </row>
    <row r="66" spans="1:13" ht="11.25" customHeight="1" x14ac:dyDescent="0.25">
      <c r="A66" s="1136" t="s">
        <v>378</v>
      </c>
      <c r="B66" s="1129"/>
      <c r="C66" s="1666">
        <v>50</v>
      </c>
      <c r="D66" s="1666"/>
      <c r="E66" s="1667"/>
      <c r="F66" s="2617">
        <v>50</v>
      </c>
      <c r="G66" s="2617">
        <v>50</v>
      </c>
      <c r="H66" s="2617">
        <v>50</v>
      </c>
      <c r="I66" s="1661">
        <v>50</v>
      </c>
      <c r="J66" s="1662">
        <v>50</v>
      </c>
      <c r="K66" s="1662">
        <v>50</v>
      </c>
      <c r="L66" s="1464"/>
      <c r="M66" s="1464"/>
    </row>
    <row r="67" spans="1:13" ht="11.25" customHeight="1" x14ac:dyDescent="0.25">
      <c r="A67" s="1148" t="s">
        <v>690</v>
      </c>
      <c r="B67" s="1141"/>
      <c r="C67" s="1669">
        <v>28.28</v>
      </c>
      <c r="D67" s="1669"/>
      <c r="E67" s="1670"/>
      <c r="F67" s="2618">
        <v>0</v>
      </c>
      <c r="G67" s="2618">
        <v>0</v>
      </c>
      <c r="H67" s="2618">
        <v>0</v>
      </c>
      <c r="I67" s="1669">
        <v>0</v>
      </c>
      <c r="J67" s="1670">
        <v>0</v>
      </c>
      <c r="K67" s="1670"/>
      <c r="L67" s="1464"/>
      <c r="M67" s="1464"/>
    </row>
    <row r="68" spans="1:13" ht="15.75" customHeight="1" x14ac:dyDescent="0.25">
      <c r="A68" s="1128" t="s">
        <v>379</v>
      </c>
      <c r="B68" s="1129">
        <v>9</v>
      </c>
      <c r="C68" s="1063"/>
      <c r="D68" s="1063"/>
      <c r="E68" s="1064"/>
      <c r="F68" s="1065"/>
      <c r="G68" s="1063"/>
      <c r="H68" s="1066"/>
      <c r="I68" s="1067"/>
      <c r="J68" s="1063"/>
      <c r="K68" s="1064"/>
      <c r="L68" s="1464"/>
      <c r="M68" s="1464"/>
    </row>
    <row r="69" spans="1:13" ht="11.25" customHeight="1" x14ac:dyDescent="0.25">
      <c r="A69" s="1136" t="s">
        <v>380</v>
      </c>
      <c r="B69" s="1129"/>
      <c r="C69" s="1614">
        <v>7649578</v>
      </c>
      <c r="D69" s="1634">
        <v>12955025.276746884</v>
      </c>
      <c r="E69" s="1634"/>
      <c r="F69" s="1053">
        <v>16430847.869674057</v>
      </c>
      <c r="G69" s="1053">
        <v>16430847.869674057</v>
      </c>
      <c r="H69" s="1053">
        <v>16430847.869674057</v>
      </c>
      <c r="I69" s="1614">
        <v>17623467.665739927</v>
      </c>
      <c r="J69" s="1634">
        <v>18969195.03999906</v>
      </c>
      <c r="K69" s="1634">
        <v>20297000</v>
      </c>
      <c r="L69" s="1464"/>
      <c r="M69" s="1464"/>
    </row>
    <row r="70" spans="1:13" ht="24" customHeight="1" x14ac:dyDescent="0.25">
      <c r="A70" s="2515" t="s">
        <v>742</v>
      </c>
      <c r="B70" s="1129"/>
      <c r="C70" s="1614">
        <v>24431298</v>
      </c>
      <c r="D70" s="1634"/>
      <c r="E70" s="1634"/>
      <c r="F70" s="1053"/>
      <c r="G70" s="1053"/>
      <c r="H70" s="1053"/>
      <c r="I70" s="1614"/>
      <c r="J70" s="1634"/>
      <c r="K70" s="1634"/>
      <c r="L70" s="1464"/>
      <c r="M70" s="1464"/>
    </row>
    <row r="71" spans="1:13" ht="11.25" customHeight="1" x14ac:dyDescent="0.25">
      <c r="A71" s="1136" t="s">
        <v>953</v>
      </c>
      <c r="B71" s="1129"/>
      <c r="C71" s="1614">
        <v>7807717</v>
      </c>
      <c r="D71" s="1634">
        <v>61890654.231926084</v>
      </c>
      <c r="E71" s="1634"/>
      <c r="F71" s="1053">
        <v>78495865.69812797</v>
      </c>
      <c r="G71" s="1053">
        <v>78495865.69812797</v>
      </c>
      <c r="H71" s="1053">
        <v>78495865.69812797</v>
      </c>
      <c r="I71" s="1614">
        <v>84193424.587569043</v>
      </c>
      <c r="J71" s="1634">
        <v>90622431.542901203</v>
      </c>
      <c r="K71" s="1634">
        <v>96966540</v>
      </c>
      <c r="L71" s="1464"/>
      <c r="M71" s="1464"/>
    </row>
    <row r="72" spans="1:13" ht="11.25" customHeight="1" x14ac:dyDescent="0.25">
      <c r="A72" s="1136" t="s">
        <v>954</v>
      </c>
      <c r="B72" s="1129"/>
      <c r="C72" s="1614">
        <v>15266626</v>
      </c>
      <c r="D72" s="1634">
        <v>47393369.112892486</v>
      </c>
      <c r="E72" s="1634"/>
      <c r="F72" s="1053">
        <v>60108970.94295653</v>
      </c>
      <c r="G72" s="1053">
        <v>60108970.94295653</v>
      </c>
      <c r="H72" s="1053">
        <v>60108970.94295653</v>
      </c>
      <c r="I72" s="1614">
        <v>64471931.956065848</v>
      </c>
      <c r="J72" s="1634">
        <v>69395006.424169242</v>
      </c>
      <c r="K72" s="1634">
        <v>74669020</v>
      </c>
      <c r="L72" s="1464"/>
      <c r="M72" s="1464"/>
    </row>
    <row r="73" spans="1:13" ht="11.25" customHeight="1" x14ac:dyDescent="0.25">
      <c r="A73" s="1136" t="s">
        <v>1809</v>
      </c>
      <c r="B73" s="1129"/>
      <c r="C73" s="1614">
        <v>8644666</v>
      </c>
      <c r="D73" s="1634">
        <v>97756505.494810432</v>
      </c>
      <c r="E73" s="1634"/>
      <c r="F73" s="1053">
        <v>123984495.26294729</v>
      </c>
      <c r="G73" s="1053">
        <v>123984495.26294729</v>
      </c>
      <c r="H73" s="1053">
        <v>123984495.26294729</v>
      </c>
      <c r="I73" s="1614">
        <v>132983809.51797967</v>
      </c>
      <c r="J73" s="1634">
        <v>143138448.55927947</v>
      </c>
      <c r="K73" s="1634">
        <v>154016488</v>
      </c>
      <c r="L73" s="1464"/>
      <c r="M73" s="1464"/>
    </row>
    <row r="74" spans="1:13" ht="11.25" customHeight="1" x14ac:dyDescent="0.25">
      <c r="A74" s="1136" t="s">
        <v>1287</v>
      </c>
      <c r="B74" s="1129"/>
      <c r="C74" s="1614">
        <v>7526270</v>
      </c>
      <c r="D74" s="1634">
        <v>47215058.883624114</v>
      </c>
      <c r="E74" s="1634"/>
      <c r="F74" s="1053">
        <v>59882820.226294167</v>
      </c>
      <c r="G74" s="1053">
        <v>59882820.226294167</v>
      </c>
      <c r="H74" s="1053">
        <v>59882820.226294167</v>
      </c>
      <c r="I74" s="1614">
        <v>64229366.272645518</v>
      </c>
      <c r="J74" s="1634">
        <v>69133918.433651015</v>
      </c>
      <c r="K74" s="1634">
        <v>74388184</v>
      </c>
      <c r="L74" s="1464"/>
      <c r="M74" s="1464"/>
    </row>
    <row r="75" spans="1:13" ht="11.25" customHeight="1" x14ac:dyDescent="0.25">
      <c r="A75" s="1136" t="s">
        <v>381</v>
      </c>
      <c r="B75" s="1129"/>
      <c r="C75" s="1614"/>
      <c r="D75" s="1634"/>
      <c r="E75" s="1634"/>
      <c r="F75" s="1053"/>
      <c r="G75" s="1053"/>
      <c r="H75" s="1053"/>
      <c r="I75" s="1614"/>
      <c r="J75" s="1634"/>
      <c r="K75" s="1634"/>
      <c r="L75" s="1464"/>
      <c r="M75" s="1464"/>
    </row>
    <row r="76" spans="1:13" ht="11.25" customHeight="1" x14ac:dyDescent="0.25">
      <c r="A76" s="1136" t="s">
        <v>382</v>
      </c>
      <c r="B76" s="1129">
        <v>6</v>
      </c>
      <c r="C76" s="1614"/>
      <c r="D76" s="1634"/>
      <c r="E76" s="1634"/>
      <c r="F76" s="1053"/>
      <c r="G76" s="1053"/>
      <c r="H76" s="1053"/>
      <c r="I76" s="1614"/>
      <c r="J76" s="1634"/>
      <c r="K76" s="1634"/>
      <c r="L76" s="1464"/>
      <c r="M76" s="1464"/>
    </row>
    <row r="77" spans="1:13" ht="11.25" customHeight="1" x14ac:dyDescent="0.25">
      <c r="A77" s="1136" t="s">
        <v>292</v>
      </c>
      <c r="B77" s="1129"/>
      <c r="C77" s="1614"/>
      <c r="D77" s="1634"/>
      <c r="E77" s="1634"/>
      <c r="F77" s="1053"/>
      <c r="G77" s="1053"/>
      <c r="H77" s="1053"/>
      <c r="I77" s="1614"/>
      <c r="J77" s="1634"/>
      <c r="K77" s="1634"/>
      <c r="L77" s="1464"/>
      <c r="M77" s="1464"/>
    </row>
    <row r="78" spans="1:13" ht="21" x14ac:dyDescent="0.25">
      <c r="A78" s="1435" t="s">
        <v>383</v>
      </c>
      <c r="B78" s="1151"/>
      <c r="C78" s="1152">
        <f t="shared" ref="C78:I78" si="13">SUM(C69:C77)</f>
        <v>71326155</v>
      </c>
      <c r="D78" s="1152">
        <f t="shared" si="13"/>
        <v>267210613</v>
      </c>
      <c r="E78" s="1153">
        <f t="shared" si="13"/>
        <v>0</v>
      </c>
      <c r="F78" s="1154">
        <f t="shared" si="13"/>
        <v>338903000</v>
      </c>
      <c r="G78" s="1152">
        <f t="shared" si="13"/>
        <v>338903000</v>
      </c>
      <c r="H78" s="1155">
        <f t="shared" si="13"/>
        <v>338903000</v>
      </c>
      <c r="I78" s="1156">
        <f t="shared" si="13"/>
        <v>363502000</v>
      </c>
      <c r="J78" s="1152">
        <f>SUM(J69:J77)</f>
        <v>391259000</v>
      </c>
      <c r="K78" s="1153">
        <f>SUM(K69:K77)</f>
        <v>420337232</v>
      </c>
      <c r="L78" s="1464"/>
      <c r="M78" s="1464"/>
    </row>
    <row r="79" spans="1:13" ht="11.25" customHeight="1" x14ac:dyDescent="0.25">
      <c r="A79" s="1157" t="str">
        <f>head27a</f>
        <v>References</v>
      </c>
      <c r="B79" s="707"/>
      <c r="L79" s="1464"/>
      <c r="M79" s="1464"/>
    </row>
    <row r="80" spans="1:13" ht="11.25" customHeight="1" x14ac:dyDescent="0.25">
      <c r="A80" s="1158" t="s">
        <v>509</v>
      </c>
      <c r="B80" s="707"/>
    </row>
    <row r="81" spans="1:11" ht="11.25" customHeight="1" x14ac:dyDescent="0.25">
      <c r="A81" s="1158" t="s">
        <v>510</v>
      </c>
      <c r="B81" s="707"/>
    </row>
    <row r="82" spans="1:11" ht="11.25" customHeight="1" x14ac:dyDescent="0.25">
      <c r="A82" s="1158" t="s">
        <v>511</v>
      </c>
      <c r="B82" s="707"/>
    </row>
    <row r="83" spans="1:11" ht="11.25" customHeight="1" x14ac:dyDescent="0.25">
      <c r="A83" s="1158" t="s">
        <v>512</v>
      </c>
      <c r="B83" s="1159"/>
      <c r="C83" s="1159"/>
      <c r="D83" s="1159"/>
      <c r="E83" s="1159"/>
      <c r="F83" s="1159"/>
      <c r="G83" s="1159"/>
      <c r="H83" s="1159"/>
      <c r="I83" s="1159"/>
      <c r="J83" s="1159"/>
      <c r="K83" s="1159"/>
    </row>
    <row r="84" spans="1:11" ht="11.25" customHeight="1" x14ac:dyDescent="0.25">
      <c r="A84" s="1158" t="s">
        <v>513</v>
      </c>
      <c r="B84" s="1159"/>
      <c r="C84" s="1159"/>
      <c r="D84" s="1159"/>
      <c r="E84" s="1159"/>
      <c r="F84" s="1159"/>
      <c r="G84" s="1159"/>
      <c r="H84" s="1159"/>
      <c r="I84" s="1159"/>
      <c r="J84" s="1159"/>
      <c r="K84" s="1159"/>
    </row>
    <row r="85" spans="1:11" ht="11.25" customHeight="1" x14ac:dyDescent="0.25">
      <c r="A85" s="1158" t="s">
        <v>514</v>
      </c>
      <c r="B85" s="1159"/>
      <c r="C85" s="1159"/>
      <c r="D85" s="1159"/>
      <c r="E85" s="1159"/>
      <c r="F85" s="1159"/>
      <c r="G85" s="1159"/>
      <c r="H85" s="1159"/>
      <c r="I85" s="1159"/>
      <c r="J85" s="1159"/>
      <c r="K85" s="1159"/>
    </row>
    <row r="86" spans="1:11" ht="11.25" customHeight="1" x14ac:dyDescent="0.25">
      <c r="A86" s="1158" t="s">
        <v>745</v>
      </c>
      <c r="B86" s="1159"/>
      <c r="C86" s="1159"/>
      <c r="D86" s="1159"/>
      <c r="E86" s="1159"/>
      <c r="F86" s="1159"/>
      <c r="G86" s="1159"/>
      <c r="H86" s="1159"/>
      <c r="I86" s="1159"/>
      <c r="J86" s="1159"/>
      <c r="K86" s="1159"/>
    </row>
    <row r="87" spans="1:11" ht="11.25" customHeight="1" x14ac:dyDescent="0.25">
      <c r="A87" s="1158" t="s">
        <v>821</v>
      </c>
      <c r="B87" s="1159"/>
      <c r="C87" s="1159"/>
      <c r="D87" s="1159"/>
      <c r="E87" s="1159"/>
      <c r="F87" s="1159"/>
      <c r="G87" s="1159"/>
      <c r="H87" s="1159"/>
      <c r="I87" s="1159"/>
      <c r="J87" s="1159"/>
      <c r="K87" s="1159"/>
    </row>
    <row r="88" spans="1:11" ht="11.25" customHeight="1" x14ac:dyDescent="0.25">
      <c r="A88" s="1158" t="s">
        <v>1538</v>
      </c>
      <c r="B88" s="1158"/>
      <c r="C88" s="1159"/>
      <c r="D88" s="1159"/>
      <c r="E88" s="1159"/>
      <c r="F88" s="1159"/>
      <c r="G88" s="1159"/>
      <c r="H88" s="1159"/>
      <c r="I88" s="1159"/>
      <c r="J88" s="1159"/>
      <c r="K88" s="1159"/>
    </row>
    <row r="89" spans="1:11" ht="11.25" customHeight="1" x14ac:dyDescent="0.25">
      <c r="A89" s="1159"/>
      <c r="B89" s="1159"/>
      <c r="C89" s="1159"/>
      <c r="D89" s="1159"/>
      <c r="E89" s="1159"/>
      <c r="F89" s="1159"/>
      <c r="G89" s="1159"/>
      <c r="H89" s="1159"/>
      <c r="I89" s="1159"/>
      <c r="J89" s="1159"/>
      <c r="K89" s="1159"/>
    </row>
    <row r="90" spans="1:11" ht="11.25" customHeight="1" x14ac:dyDescent="0.25">
      <c r="A90" s="1159"/>
      <c r="B90" s="1159"/>
      <c r="C90" s="1159"/>
      <c r="D90" s="1159"/>
      <c r="E90" s="1159"/>
      <c r="F90" s="1159"/>
      <c r="G90" s="1159"/>
      <c r="H90" s="1159"/>
      <c r="I90" s="1159"/>
      <c r="J90" s="1159"/>
      <c r="K90" s="1159"/>
    </row>
    <row r="91" spans="1:11" ht="11.25" customHeight="1" x14ac:dyDescent="0.25">
      <c r="A91" s="2516" t="s">
        <v>2234</v>
      </c>
      <c r="B91" s="1159"/>
      <c r="D91" s="1159"/>
      <c r="E91" s="1159"/>
      <c r="F91" s="1159"/>
      <c r="G91" s="1159"/>
      <c r="H91" s="1159"/>
      <c r="I91" s="1159"/>
      <c r="J91" s="1159"/>
      <c r="K91" s="1159"/>
    </row>
    <row r="92" spans="1:11" ht="11.25" customHeight="1" x14ac:dyDescent="0.25">
      <c r="A92" s="2517" t="s">
        <v>2232</v>
      </c>
      <c r="B92" s="1159"/>
      <c r="C92" s="2503">
        <f>C15-'SA9'!E76</f>
        <v>142765</v>
      </c>
      <c r="D92" s="2503">
        <f>D15-'SA9'!F76</f>
        <v>0</v>
      </c>
      <c r="E92" s="2503">
        <f>E15-'SA9'!G76</f>
        <v>163993</v>
      </c>
      <c r="F92" s="2503">
        <f>F15-'SA9'!H76</f>
        <v>107142</v>
      </c>
      <c r="G92" s="2503">
        <f>G15-'SA9'!I76</f>
        <v>107142</v>
      </c>
      <c r="H92" s="2503">
        <f>H15-'SA9'!J76</f>
        <v>166243</v>
      </c>
      <c r="I92" s="2503">
        <f>I15-'SA9'!K76</f>
        <v>160097</v>
      </c>
      <c r="J92" s="2503">
        <f>J15-'SA9'!L76</f>
        <v>160347</v>
      </c>
      <c r="K92" s="2503">
        <f>K15-'SA9'!M76</f>
        <v>160597</v>
      </c>
    </row>
    <row r="93" spans="1:11" ht="11.25" customHeight="1" x14ac:dyDescent="0.25">
      <c r="A93" s="2517" t="s">
        <v>954</v>
      </c>
      <c r="B93" s="1159"/>
      <c r="C93" s="2503">
        <f>C27-'SA9'!E88</f>
        <v>96058</v>
      </c>
      <c r="D93" s="2503">
        <f>D27-'SA9'!F88</f>
        <v>0</v>
      </c>
      <c r="E93" s="2503">
        <f>E27-'SA9'!G88</f>
        <v>163993</v>
      </c>
      <c r="F93" s="2503">
        <f>F27-'SA9'!H88</f>
        <v>92638</v>
      </c>
      <c r="G93" s="2503">
        <f>G27-'SA9'!I88</f>
        <v>92638</v>
      </c>
      <c r="H93" s="2503">
        <f>H27-'SA9'!J88</f>
        <v>151262</v>
      </c>
      <c r="I93" s="2503">
        <f>I27-'SA9'!K88</f>
        <v>144923</v>
      </c>
      <c r="J93" s="2503">
        <f>J27-'SA9'!L88</f>
        <v>148935</v>
      </c>
      <c r="K93" s="2503">
        <f>K27-'SA9'!M88</f>
        <v>148435</v>
      </c>
    </row>
    <row r="94" spans="1:11" ht="11.25" customHeight="1" x14ac:dyDescent="0.25">
      <c r="A94" s="2517" t="s">
        <v>2233</v>
      </c>
      <c r="B94" s="1159"/>
      <c r="C94" s="2503">
        <f>C36-'SA9'!E97</f>
        <v>50000</v>
      </c>
      <c r="D94" s="2503">
        <f>D36-'SA9'!F97</f>
        <v>0</v>
      </c>
      <c r="E94" s="2503">
        <f>E36-'SA9'!G97</f>
        <v>0</v>
      </c>
      <c r="F94" s="2503">
        <f>F36-'SA9'!H97</f>
        <v>64000</v>
      </c>
      <c r="G94" s="2503">
        <f>G36-'SA9'!I97</f>
        <v>64000</v>
      </c>
      <c r="H94" s="2503">
        <f>H36-'SA9'!J97</f>
        <v>64000</v>
      </c>
      <c r="I94" s="2503">
        <f>I36-'SA9'!K97</f>
        <v>65500</v>
      </c>
      <c r="J94" s="2503">
        <f>J36-'SA9'!L97</f>
        <v>67000</v>
      </c>
      <c r="K94" s="2503">
        <f>K36-'SA9'!M97</f>
        <v>72984</v>
      </c>
    </row>
    <row r="95" spans="1:11" ht="11.25" customHeight="1" x14ac:dyDescent="0.25">
      <c r="A95" s="2517" t="s">
        <v>1287</v>
      </c>
      <c r="B95" s="1159"/>
      <c r="C95" s="2503">
        <f>C46-'SA9'!E107</f>
        <v>121999.5</v>
      </c>
      <c r="D95" s="2503">
        <f>D46-'SA9'!F107</f>
        <v>144000</v>
      </c>
      <c r="E95" s="2503">
        <f>E46-'SA9'!G107</f>
        <v>0</v>
      </c>
      <c r="F95" s="2503">
        <f>F46-'SA9'!H107</f>
        <v>144000</v>
      </c>
      <c r="G95" s="2503">
        <f>G46-'SA9'!I107</f>
        <v>144000</v>
      </c>
      <c r="H95" s="2503">
        <f>H46-'SA9'!J107</f>
        <v>144000</v>
      </c>
      <c r="I95" s="2503">
        <f>I46-'SA9'!K107</f>
        <v>144000</v>
      </c>
      <c r="J95" s="2503">
        <f>J46-'SA9'!L107</f>
        <v>144000</v>
      </c>
      <c r="K95" s="2503">
        <f>K46-'SA9'!M107</f>
        <v>144000</v>
      </c>
    </row>
    <row r="96" spans="1:11" ht="11.25" customHeight="1" x14ac:dyDescent="0.25">
      <c r="A96" s="1159"/>
      <c r="B96" s="1159"/>
      <c r="C96" s="1159"/>
      <c r="D96" s="1159"/>
      <c r="E96" s="1159"/>
      <c r="F96" s="1159"/>
      <c r="G96" s="1159"/>
      <c r="H96" s="1159"/>
      <c r="I96" s="1159"/>
      <c r="J96" s="1159"/>
      <c r="K96" s="1159"/>
    </row>
    <row r="97" spans="1:11" ht="11.25" customHeight="1" x14ac:dyDescent="0.25">
      <c r="A97" s="1159"/>
      <c r="B97" s="1159"/>
      <c r="C97" s="1159"/>
      <c r="D97" s="1159"/>
      <c r="E97" s="1159"/>
      <c r="F97" s="1159"/>
      <c r="G97" s="1159"/>
      <c r="H97" s="1159"/>
      <c r="I97" s="1159"/>
      <c r="J97" s="1159"/>
      <c r="K97" s="1159"/>
    </row>
    <row r="98" spans="1:11" ht="11.25" customHeight="1" x14ac:dyDescent="0.25">
      <c r="A98" s="1159"/>
      <c r="B98" s="1159"/>
      <c r="C98" s="1159"/>
      <c r="D98" s="1159"/>
      <c r="E98" s="1159"/>
      <c r="F98" s="1159"/>
      <c r="G98" s="1159"/>
      <c r="H98" s="1159"/>
      <c r="I98" s="1159"/>
      <c r="J98" s="1159"/>
      <c r="K98" s="1159"/>
    </row>
    <row r="99" spans="1:11" ht="11.25" customHeight="1" x14ac:dyDescent="0.25">
      <c r="B99" s="707"/>
    </row>
    <row r="100" spans="1:11" ht="11.25" customHeight="1" x14ac:dyDescent="0.25">
      <c r="B100" s="707"/>
    </row>
    <row r="101" spans="1:11" ht="11.25" customHeight="1" x14ac:dyDescent="0.25">
      <c r="B101" s="707"/>
    </row>
    <row r="102" spans="1:11" ht="11.25" customHeight="1" x14ac:dyDescent="0.25">
      <c r="B102" s="707"/>
    </row>
    <row r="103" spans="1:11" ht="11.25" customHeight="1" x14ac:dyDescent="0.25">
      <c r="B103" s="707"/>
    </row>
    <row r="104" spans="1:11" ht="11.25" customHeight="1" x14ac:dyDescent="0.25">
      <c r="B104" s="707"/>
    </row>
    <row r="105" spans="1:11" ht="11.25" customHeight="1" x14ac:dyDescent="0.25">
      <c r="B105" s="707"/>
    </row>
    <row r="106" spans="1:11" ht="11.25" customHeight="1" x14ac:dyDescent="0.25">
      <c r="B106" s="707"/>
    </row>
    <row r="107" spans="1:11" ht="11.25" customHeight="1" x14ac:dyDescent="0.25">
      <c r="B107" s="707"/>
    </row>
    <row r="108" spans="1:11" ht="11.25" customHeight="1" x14ac:dyDescent="0.25">
      <c r="B108" s="707"/>
    </row>
    <row r="109" spans="1:11" ht="11.25" customHeight="1" x14ac:dyDescent="0.25">
      <c r="B109" s="707"/>
    </row>
    <row r="110" spans="1:11" ht="11.25" customHeight="1" x14ac:dyDescent="0.25">
      <c r="B110" s="707"/>
    </row>
    <row r="111" spans="1:11" ht="11.25" customHeight="1" x14ac:dyDescent="0.25">
      <c r="B111" s="707"/>
    </row>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sheetData>
  <sheetProtection password="C646" sheet="1" objects="1" scenarios="1"/>
  <mergeCells count="4">
    <mergeCell ref="F2:H2"/>
    <mergeCell ref="I2:K2"/>
    <mergeCell ref="A2:A3"/>
    <mergeCell ref="B2:B3"/>
  </mergeCells>
  <phoneticPr fontId="2" type="noConversion"/>
  <dataValidations count="1">
    <dataValidation type="decimal" allowBlank="1" showInputMessage="1" showErrorMessage="1" sqref="C6:K9 C11:K13 C17:K21 C23:K25 C29:K30 C32:K34 C38:K38 C40:K44 C49:K52 C54:K58 C62:K67 C69:K77">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3"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enableFormatConditionsCalculation="0">
    <tabColor indexed="46"/>
  </sheetPr>
  <dimension ref="D2:AJ288"/>
  <sheetViews>
    <sheetView showGridLines="0" zoomScaleNormal="100" workbookViewId="0">
      <selection activeCell="O28" sqref="O28"/>
    </sheetView>
  </sheetViews>
  <sheetFormatPr defaultRowHeight="12.5" x14ac:dyDescent="0.25"/>
  <cols>
    <col min="19" max="22" width="9.1796875" style="1519" customWidth="1"/>
    <col min="23" max="23" width="19.7265625" style="1520" customWidth="1"/>
    <col min="24" max="25" width="9.1796875" style="1520" customWidth="1"/>
    <col min="26" max="26" width="9.1796875" style="1519" customWidth="1"/>
    <col min="27" max="27" width="13" style="1519" customWidth="1"/>
    <col min="28" max="28" width="24.81640625" style="1519" customWidth="1"/>
    <col min="29" max="36" width="9.1796875" style="1519" customWidth="1"/>
  </cols>
  <sheetData>
    <row r="2" spans="4:29" x14ac:dyDescent="0.25">
      <c r="D2">
        <v>2020</v>
      </c>
    </row>
    <row r="4" spans="4:29" x14ac:dyDescent="0.25">
      <c r="X4" s="1521" t="s">
        <v>425</v>
      </c>
      <c r="Y4" s="1520">
        <v>0</v>
      </c>
    </row>
    <row r="5" spans="4:29" x14ac:dyDescent="0.25">
      <c r="X5" s="1521" t="s">
        <v>827</v>
      </c>
    </row>
    <row r="6" spans="4:29" x14ac:dyDescent="0.25">
      <c r="AB6" s="1525"/>
      <c r="AC6" s="1446"/>
    </row>
    <row r="7" spans="4:29" x14ac:dyDescent="0.25">
      <c r="W7" s="1521" t="s">
        <v>888</v>
      </c>
      <c r="X7" s="1521" t="s">
        <v>263</v>
      </c>
      <c r="AB7" s="1525"/>
      <c r="AC7" s="1448"/>
    </row>
    <row r="8" spans="4:29" x14ac:dyDescent="0.25">
      <c r="X8" s="1521" t="s">
        <v>1796</v>
      </c>
      <c r="AB8" s="1525"/>
      <c r="AC8" s="1446"/>
    </row>
    <row r="9" spans="4:29" x14ac:dyDescent="0.25">
      <c r="AB9" s="1525"/>
      <c r="AC9" s="1446"/>
    </row>
    <row r="10" spans="4:29" x14ac:dyDescent="0.25">
      <c r="AB10" s="1525"/>
      <c r="AC10" s="1446"/>
    </row>
    <row r="11" spans="4:29" x14ac:dyDescent="0.25">
      <c r="AB11" s="1525"/>
      <c r="AC11" s="1446"/>
    </row>
    <row r="12" spans="4:29" x14ac:dyDescent="0.25">
      <c r="AB12" s="1525"/>
      <c r="AC12" s="1446"/>
    </row>
    <row r="13" spans="4:29" x14ac:dyDescent="0.25">
      <c r="AB13" s="1525"/>
      <c r="AC13" s="1448"/>
    </row>
    <row r="14" spans="4:29" x14ac:dyDescent="0.25">
      <c r="AB14" s="1525"/>
      <c r="AC14" s="1446"/>
    </row>
    <row r="15" spans="4:29" x14ac:dyDescent="0.25">
      <c r="AB15" s="1525"/>
      <c r="AC15" s="1439"/>
    </row>
    <row r="16" spans="4:29" x14ac:dyDescent="0.25">
      <c r="AB16" s="1525"/>
      <c r="AC16" s="1439"/>
    </row>
    <row r="17" spans="23:29" x14ac:dyDescent="0.25">
      <c r="W17" s="1521" t="s">
        <v>887</v>
      </c>
      <c r="X17" s="1521">
        <v>2008</v>
      </c>
      <c r="AB17" s="1525"/>
      <c r="AC17" s="1439"/>
    </row>
    <row r="18" spans="23:29" x14ac:dyDescent="0.25">
      <c r="X18" s="1521">
        <v>2009</v>
      </c>
      <c r="AB18" s="1525"/>
      <c r="AC18" s="1439"/>
    </row>
    <row r="19" spans="23:29" x14ac:dyDescent="0.25">
      <c r="X19" s="1521">
        <v>2010</v>
      </c>
      <c r="AB19" s="1525"/>
      <c r="AC19" s="1439"/>
    </row>
    <row r="20" spans="23:29" x14ac:dyDescent="0.25">
      <c r="X20" s="1521">
        <v>2011</v>
      </c>
      <c r="AB20" s="1525"/>
      <c r="AC20" s="1439"/>
    </row>
    <row r="21" spans="23:29" x14ac:dyDescent="0.25">
      <c r="X21" s="1521">
        <v>2012</v>
      </c>
      <c r="AB21" s="1525"/>
      <c r="AC21" s="1439"/>
    </row>
    <row r="22" spans="23:29" x14ac:dyDescent="0.25">
      <c r="X22" s="1521">
        <v>2013</v>
      </c>
      <c r="AB22" s="1525"/>
      <c r="AC22" s="1439"/>
    </row>
    <row r="23" spans="23:29" x14ac:dyDescent="0.25">
      <c r="X23" s="1521">
        <v>2014</v>
      </c>
      <c r="AB23" s="1525"/>
      <c r="AC23" s="1439"/>
    </row>
    <row r="24" spans="23:29" x14ac:dyDescent="0.25">
      <c r="X24" s="1521">
        <v>2015</v>
      </c>
      <c r="AB24" s="1525"/>
      <c r="AC24" s="1439"/>
    </row>
    <row r="25" spans="23:29" x14ac:dyDescent="0.25">
      <c r="X25" s="1521">
        <v>2016</v>
      </c>
      <c r="AB25" s="1525"/>
      <c r="AC25" s="1439"/>
    </row>
    <row r="26" spans="23:29" x14ac:dyDescent="0.25">
      <c r="X26" s="1521">
        <v>2017</v>
      </c>
      <c r="AB26" s="1525"/>
      <c r="AC26" s="1439"/>
    </row>
    <row r="27" spans="23:29" x14ac:dyDescent="0.25">
      <c r="X27" s="1521">
        <v>2018</v>
      </c>
      <c r="AB27" s="1525"/>
      <c r="AC27" s="1439"/>
    </row>
    <row r="28" spans="23:29" x14ac:dyDescent="0.25">
      <c r="X28" s="1521">
        <v>2019</v>
      </c>
      <c r="AB28" s="1525"/>
      <c r="AC28" s="1439"/>
    </row>
    <row r="29" spans="23:29" x14ac:dyDescent="0.25">
      <c r="X29" s="1521">
        <v>2020</v>
      </c>
      <c r="AB29" s="1525"/>
      <c r="AC29" s="1439"/>
    </row>
    <row r="30" spans="23:29" x14ac:dyDescent="0.25">
      <c r="X30" s="1521">
        <v>2021</v>
      </c>
      <c r="AB30" s="1525"/>
      <c r="AC30" s="1439"/>
    </row>
    <row r="31" spans="23:29" x14ac:dyDescent="0.25">
      <c r="X31" s="1521">
        <v>2022</v>
      </c>
      <c r="AB31" s="1525"/>
      <c r="AC31" s="1439"/>
    </row>
    <row r="32" spans="23:29" x14ac:dyDescent="0.25">
      <c r="AB32" s="1525"/>
      <c r="AC32" s="1439"/>
    </row>
    <row r="33" spans="15:29" x14ac:dyDescent="0.25">
      <c r="W33" s="1521" t="s">
        <v>1797</v>
      </c>
      <c r="X33" s="1520">
        <v>6</v>
      </c>
      <c r="AB33" s="1525"/>
      <c r="AC33" s="1445"/>
    </row>
    <row r="34" spans="15:29" x14ac:dyDescent="0.25">
      <c r="W34" s="1521" t="s">
        <v>1795</v>
      </c>
      <c r="X34" s="1522">
        <f>INDEX(X17:X31,X33,1)</f>
        <v>2013</v>
      </c>
      <c r="AB34" s="1525"/>
      <c r="AC34" s="1452"/>
    </row>
    <row r="35" spans="15:29" x14ac:dyDescent="0.25">
      <c r="AB35" s="1525"/>
      <c r="AC35" s="1452"/>
    </row>
    <row r="36" spans="15:29" x14ac:dyDescent="0.25">
      <c r="W36" s="1521" t="s">
        <v>1798</v>
      </c>
      <c r="X36" s="1523" t="str">
        <f>MTREF&amp;"/"&amp;RIGHT(MTREF,2)+1</f>
        <v>2013/14</v>
      </c>
      <c r="AB36" s="1525"/>
      <c r="AC36" s="1439"/>
    </row>
    <row r="37" spans="15:29" x14ac:dyDescent="0.25">
      <c r="O37" s="2085"/>
      <c r="AB37" s="1525"/>
      <c r="AC37" s="1439"/>
    </row>
    <row r="38" spans="15:29" x14ac:dyDescent="0.25">
      <c r="O38" s="2085"/>
      <c r="AB38" s="1525"/>
      <c r="AC38" s="1439"/>
    </row>
    <row r="39" spans="15:29" x14ac:dyDescent="0.25">
      <c r="O39" s="2085"/>
      <c r="AB39" s="1525"/>
      <c r="AC39" s="1439"/>
    </row>
    <row r="40" spans="15:29" x14ac:dyDescent="0.25">
      <c r="O40" s="2086"/>
      <c r="AB40" s="1525"/>
      <c r="AC40" s="1439"/>
    </row>
    <row r="41" spans="15:29" x14ac:dyDescent="0.25">
      <c r="AB41" s="1525"/>
      <c r="AC41" s="1439"/>
    </row>
    <row r="42" spans="15:29" x14ac:dyDescent="0.25">
      <c r="AB42" s="1525"/>
      <c r="AC42" s="1439"/>
    </row>
    <row r="43" spans="15:29" x14ac:dyDescent="0.25">
      <c r="AB43" s="1525"/>
      <c r="AC43" s="1439"/>
    </row>
    <row r="44" spans="15:29" x14ac:dyDescent="0.25">
      <c r="AB44" s="1525"/>
      <c r="AC44" s="1439"/>
    </row>
    <row r="45" spans="15:29" x14ac:dyDescent="0.25">
      <c r="AB45" s="1525"/>
      <c r="AC45" s="1439"/>
    </row>
    <row r="46" spans="15:29" x14ac:dyDescent="0.25">
      <c r="AB46" s="1525"/>
      <c r="AC46" s="1439"/>
    </row>
    <row r="47" spans="15:29" x14ac:dyDescent="0.25">
      <c r="AB47" s="1525"/>
      <c r="AC47" s="1439"/>
    </row>
    <row r="48" spans="15:29" x14ac:dyDescent="0.25">
      <c r="AB48" s="1525"/>
      <c r="AC48" s="1439"/>
    </row>
    <row r="49" spans="28:29" x14ac:dyDescent="0.25">
      <c r="AB49" s="1525"/>
      <c r="AC49" s="1439"/>
    </row>
    <row r="50" spans="28:29" x14ac:dyDescent="0.25">
      <c r="AB50" s="1525"/>
      <c r="AC50" s="1439"/>
    </row>
    <row r="51" spans="28:29" x14ac:dyDescent="0.25">
      <c r="AB51" s="1525"/>
      <c r="AC51" s="1439"/>
    </row>
    <row r="52" spans="28:29" x14ac:dyDescent="0.25">
      <c r="AB52" s="1525"/>
      <c r="AC52" s="1439"/>
    </row>
    <row r="53" spans="28:29" x14ac:dyDescent="0.25">
      <c r="AB53" s="1525"/>
      <c r="AC53" s="1439"/>
    </row>
    <row r="54" spans="28:29" x14ac:dyDescent="0.25">
      <c r="AB54" s="1525"/>
      <c r="AC54" s="1439"/>
    </row>
    <row r="55" spans="28:29" x14ac:dyDescent="0.25">
      <c r="AB55" s="1525"/>
      <c r="AC55" s="1439"/>
    </row>
    <row r="56" spans="28:29" x14ac:dyDescent="0.25">
      <c r="AB56" s="1525"/>
      <c r="AC56" s="1439"/>
    </row>
    <row r="57" spans="28:29" x14ac:dyDescent="0.25">
      <c r="AB57" s="1525"/>
      <c r="AC57" s="1439"/>
    </row>
    <row r="58" spans="28:29" x14ac:dyDescent="0.25">
      <c r="AB58" s="1525"/>
      <c r="AC58" s="1439"/>
    </row>
    <row r="59" spans="28:29" x14ac:dyDescent="0.25">
      <c r="AB59" s="1525"/>
      <c r="AC59" s="1439"/>
    </row>
    <row r="60" spans="28:29" x14ac:dyDescent="0.25">
      <c r="AB60" s="1525"/>
      <c r="AC60" s="1439"/>
    </row>
    <row r="61" spans="28:29" x14ac:dyDescent="0.25">
      <c r="AB61" s="1525"/>
      <c r="AC61" s="1439"/>
    </row>
    <row r="62" spans="28:29" x14ac:dyDescent="0.25">
      <c r="AB62" s="1525"/>
      <c r="AC62" s="1439"/>
    </row>
    <row r="63" spans="28:29" x14ac:dyDescent="0.25">
      <c r="AB63" s="1525"/>
      <c r="AC63" s="1439"/>
    </row>
    <row r="64" spans="28:29" x14ac:dyDescent="0.25">
      <c r="AB64" s="1525"/>
      <c r="AC64" s="1439"/>
    </row>
    <row r="65" spans="28:29" x14ac:dyDescent="0.25">
      <c r="AB65" s="1525"/>
      <c r="AC65" s="1439"/>
    </row>
    <row r="66" spans="28:29" x14ac:dyDescent="0.25">
      <c r="AB66" s="1525"/>
      <c r="AC66" s="1439"/>
    </row>
    <row r="67" spans="28:29" x14ac:dyDescent="0.25">
      <c r="AB67" s="1525"/>
      <c r="AC67" s="1439"/>
    </row>
    <row r="68" spans="28:29" x14ac:dyDescent="0.25">
      <c r="AB68" s="1525"/>
      <c r="AC68" s="1439"/>
    </row>
    <row r="69" spans="28:29" x14ac:dyDescent="0.25">
      <c r="AB69" s="1525"/>
      <c r="AC69" s="1439"/>
    </row>
    <row r="70" spans="28:29" x14ac:dyDescent="0.25">
      <c r="AB70" s="1525"/>
      <c r="AC70" s="1439"/>
    </row>
    <row r="71" spans="28:29" x14ac:dyDescent="0.25">
      <c r="AB71" s="1525"/>
      <c r="AC71" s="1439"/>
    </row>
    <row r="72" spans="28:29" x14ac:dyDescent="0.25">
      <c r="AB72" s="1525"/>
      <c r="AC72" s="1439"/>
    </row>
    <row r="73" spans="28:29" x14ac:dyDescent="0.25">
      <c r="AB73" s="1525"/>
      <c r="AC73" s="1439"/>
    </row>
    <row r="74" spans="28:29" x14ac:dyDescent="0.25">
      <c r="AB74" s="1525"/>
      <c r="AC74" s="1439"/>
    </row>
    <row r="75" spans="28:29" x14ac:dyDescent="0.25">
      <c r="AB75" s="1525"/>
      <c r="AC75" s="1439"/>
    </row>
    <row r="76" spans="28:29" x14ac:dyDescent="0.25">
      <c r="AB76" s="1525"/>
      <c r="AC76" s="1439"/>
    </row>
    <row r="77" spans="28:29" x14ac:dyDescent="0.25">
      <c r="AB77" s="1525"/>
      <c r="AC77" s="1439"/>
    </row>
    <row r="78" spans="28:29" x14ac:dyDescent="0.25">
      <c r="AB78" s="1525"/>
      <c r="AC78" s="1439"/>
    </row>
    <row r="79" spans="28:29" x14ac:dyDescent="0.25">
      <c r="AB79" s="1525"/>
      <c r="AC79" s="1439"/>
    </row>
    <row r="80" spans="28:29" x14ac:dyDescent="0.25">
      <c r="AB80" s="1525"/>
      <c r="AC80" s="1439"/>
    </row>
    <row r="81" spans="28:29" x14ac:dyDescent="0.25">
      <c r="AB81" s="1525"/>
      <c r="AC81" s="1439"/>
    </row>
    <row r="82" spans="28:29" x14ac:dyDescent="0.25">
      <c r="AB82" s="1525"/>
      <c r="AC82" s="1439"/>
    </row>
    <row r="83" spans="28:29" x14ac:dyDescent="0.25">
      <c r="AB83" s="1525"/>
      <c r="AC83" s="1439"/>
    </row>
    <row r="84" spans="28:29" x14ac:dyDescent="0.25">
      <c r="AB84" s="1525"/>
      <c r="AC84" s="1439"/>
    </row>
    <row r="85" spans="28:29" x14ac:dyDescent="0.25">
      <c r="AB85" s="1525"/>
      <c r="AC85" s="1439"/>
    </row>
    <row r="86" spans="28:29" x14ac:dyDescent="0.25">
      <c r="AB86" s="1525"/>
      <c r="AC86" s="1439"/>
    </row>
    <row r="87" spans="28:29" x14ac:dyDescent="0.25">
      <c r="AB87" s="1525"/>
      <c r="AC87" s="1439"/>
    </row>
    <row r="88" spans="28:29" x14ac:dyDescent="0.25">
      <c r="AB88" s="1525"/>
      <c r="AC88" s="1439"/>
    </row>
    <row r="89" spans="28:29" x14ac:dyDescent="0.25">
      <c r="AB89" s="1525"/>
      <c r="AC89" s="1439"/>
    </row>
    <row r="90" spans="28:29" x14ac:dyDescent="0.25">
      <c r="AB90" s="1525"/>
      <c r="AC90" s="1439"/>
    </row>
    <row r="91" spans="28:29" x14ac:dyDescent="0.25">
      <c r="AB91" s="1525"/>
      <c r="AC91" s="1439"/>
    </row>
    <row r="92" spans="28:29" x14ac:dyDescent="0.25">
      <c r="AB92" s="1525"/>
      <c r="AC92" s="1439"/>
    </row>
    <row r="93" spans="28:29" x14ac:dyDescent="0.25">
      <c r="AB93" s="1525"/>
      <c r="AC93" s="1439"/>
    </row>
    <row r="94" spans="28:29" x14ac:dyDescent="0.25">
      <c r="AB94" s="1525"/>
      <c r="AC94" s="1439"/>
    </row>
    <row r="95" spans="28:29" x14ac:dyDescent="0.25">
      <c r="AB95" s="1525"/>
      <c r="AC95" s="1439"/>
    </row>
    <row r="96" spans="28:29" x14ac:dyDescent="0.25">
      <c r="AB96" s="1525"/>
      <c r="AC96" s="1439"/>
    </row>
    <row r="97" spans="28:29" x14ac:dyDescent="0.25">
      <c r="AB97" s="1525"/>
      <c r="AC97" s="1439"/>
    </row>
    <row r="98" spans="28:29" x14ac:dyDescent="0.25">
      <c r="AB98" s="1525"/>
      <c r="AC98" s="1439"/>
    </row>
    <row r="99" spans="28:29" x14ac:dyDescent="0.25">
      <c r="AB99" s="1525"/>
      <c r="AC99" s="1439"/>
    </row>
    <row r="100" spans="28:29" x14ac:dyDescent="0.25">
      <c r="AB100" s="1525"/>
      <c r="AC100" s="1439"/>
    </row>
    <row r="101" spans="28:29" x14ac:dyDescent="0.25">
      <c r="AB101" s="1525"/>
      <c r="AC101" s="1439"/>
    </row>
    <row r="102" spans="28:29" x14ac:dyDescent="0.25">
      <c r="AB102" s="1525"/>
      <c r="AC102" s="1439"/>
    </row>
    <row r="103" spans="28:29" x14ac:dyDescent="0.25">
      <c r="AB103" s="1525"/>
      <c r="AC103" s="1439"/>
    </row>
    <row r="104" spans="28:29" x14ac:dyDescent="0.25">
      <c r="AB104" s="1525"/>
      <c r="AC104" s="1439"/>
    </row>
    <row r="105" spans="28:29" x14ac:dyDescent="0.25">
      <c r="AB105" s="1525"/>
      <c r="AC105" s="1439"/>
    </row>
    <row r="106" spans="28:29" x14ac:dyDescent="0.25">
      <c r="AB106" s="1525"/>
      <c r="AC106" s="1439"/>
    </row>
    <row r="107" spans="28:29" x14ac:dyDescent="0.25">
      <c r="AB107" s="1525"/>
      <c r="AC107" s="1439"/>
    </row>
    <row r="108" spans="28:29" x14ac:dyDescent="0.25">
      <c r="AB108" s="1525"/>
      <c r="AC108" s="1439"/>
    </row>
    <row r="109" spans="28:29" x14ac:dyDescent="0.25">
      <c r="AB109" s="1525"/>
      <c r="AC109" s="1439"/>
    </row>
    <row r="110" spans="28:29" x14ac:dyDescent="0.25">
      <c r="AB110" s="1525"/>
      <c r="AC110" s="1439"/>
    </row>
    <row r="111" spans="28:29" x14ac:dyDescent="0.25">
      <c r="AB111" s="1525"/>
      <c r="AC111" s="1439"/>
    </row>
    <row r="112" spans="28:29" x14ac:dyDescent="0.25">
      <c r="AB112" s="1525"/>
      <c r="AC112" s="1439"/>
    </row>
    <row r="113" spans="28:29" x14ac:dyDescent="0.25">
      <c r="AB113" s="1525"/>
      <c r="AC113" s="1439"/>
    </row>
    <row r="114" spans="28:29" x14ac:dyDescent="0.25">
      <c r="AB114" s="1525"/>
      <c r="AC114" s="1439"/>
    </row>
    <row r="115" spans="28:29" x14ac:dyDescent="0.25">
      <c r="AB115" s="1525"/>
      <c r="AC115" s="1439"/>
    </row>
    <row r="116" spans="28:29" x14ac:dyDescent="0.25">
      <c r="AB116" s="1525"/>
      <c r="AC116" s="1439"/>
    </row>
    <row r="117" spans="28:29" x14ac:dyDescent="0.25">
      <c r="AB117" s="1525"/>
      <c r="AC117" s="1439"/>
    </row>
    <row r="118" spans="28:29" x14ac:dyDescent="0.25">
      <c r="AB118" s="1525"/>
      <c r="AC118" s="1439"/>
    </row>
    <row r="119" spans="28:29" x14ac:dyDescent="0.25">
      <c r="AB119" s="1525"/>
      <c r="AC119" s="1439"/>
    </row>
    <row r="120" spans="28:29" x14ac:dyDescent="0.25">
      <c r="AB120" s="1525"/>
      <c r="AC120" s="1439"/>
    </row>
    <row r="121" spans="28:29" x14ac:dyDescent="0.25">
      <c r="AB121" s="1525"/>
      <c r="AC121" s="1439"/>
    </row>
    <row r="122" spans="28:29" x14ac:dyDescent="0.25">
      <c r="AB122" s="1525"/>
      <c r="AC122" s="1439"/>
    </row>
    <row r="123" spans="28:29" x14ac:dyDescent="0.25">
      <c r="AB123" s="1525"/>
      <c r="AC123" s="1439"/>
    </row>
    <row r="124" spans="28:29" x14ac:dyDescent="0.25">
      <c r="AB124" s="1525"/>
      <c r="AC124" s="1439"/>
    </row>
    <row r="125" spans="28:29" x14ac:dyDescent="0.25">
      <c r="AB125" s="1525"/>
      <c r="AC125" s="1439"/>
    </row>
    <row r="126" spans="28:29" x14ac:dyDescent="0.25">
      <c r="AB126" s="1525"/>
      <c r="AC126" s="1439"/>
    </row>
    <row r="127" spans="28:29" x14ac:dyDescent="0.25">
      <c r="AB127" s="1525"/>
      <c r="AC127" s="1439"/>
    </row>
    <row r="128" spans="28:29" x14ac:dyDescent="0.25">
      <c r="AB128" s="1525"/>
      <c r="AC128" s="1439"/>
    </row>
    <row r="129" spans="28:29" x14ac:dyDescent="0.25">
      <c r="AB129" s="1525"/>
      <c r="AC129" s="1439"/>
    </row>
    <row r="130" spans="28:29" x14ac:dyDescent="0.25">
      <c r="AB130" s="1525"/>
      <c r="AC130" s="1439"/>
    </row>
    <row r="131" spans="28:29" x14ac:dyDescent="0.25">
      <c r="AB131" s="1525"/>
      <c r="AC131" s="1439"/>
    </row>
    <row r="132" spans="28:29" x14ac:dyDescent="0.25">
      <c r="AB132" s="1525"/>
      <c r="AC132" s="1439"/>
    </row>
    <row r="133" spans="28:29" x14ac:dyDescent="0.25">
      <c r="AB133" s="1525"/>
      <c r="AC133" s="1439"/>
    </row>
    <row r="134" spans="28:29" x14ac:dyDescent="0.25">
      <c r="AB134" s="1525"/>
      <c r="AC134" s="1439"/>
    </row>
    <row r="135" spans="28:29" x14ac:dyDescent="0.25">
      <c r="AB135" s="1525"/>
      <c r="AC135" s="1439"/>
    </row>
    <row r="136" spans="28:29" x14ac:dyDescent="0.25">
      <c r="AB136" s="1525"/>
      <c r="AC136" s="1439"/>
    </row>
    <row r="137" spans="28:29" x14ac:dyDescent="0.25">
      <c r="AB137" s="1525"/>
      <c r="AC137" s="1439"/>
    </row>
    <row r="138" spans="28:29" x14ac:dyDescent="0.25">
      <c r="AB138" s="1525"/>
      <c r="AC138" s="1439"/>
    </row>
    <row r="139" spans="28:29" x14ac:dyDescent="0.25">
      <c r="AB139" s="1525"/>
      <c r="AC139" s="1439"/>
    </row>
    <row r="140" spans="28:29" x14ac:dyDescent="0.25">
      <c r="AB140" s="1525"/>
      <c r="AC140" s="1439"/>
    </row>
    <row r="141" spans="28:29" x14ac:dyDescent="0.25">
      <c r="AB141" s="1525"/>
      <c r="AC141" s="1439"/>
    </row>
    <row r="142" spans="28:29" x14ac:dyDescent="0.25">
      <c r="AB142" s="1525"/>
      <c r="AC142" s="1439"/>
    </row>
    <row r="143" spans="28:29" x14ac:dyDescent="0.25">
      <c r="AB143" s="1525"/>
      <c r="AC143" s="1439"/>
    </row>
    <row r="144" spans="28:29" x14ac:dyDescent="0.25">
      <c r="AB144" s="1525"/>
      <c r="AC144" s="1439"/>
    </row>
    <row r="145" spans="28:29" x14ac:dyDescent="0.25">
      <c r="AB145" s="1525"/>
      <c r="AC145" s="1439"/>
    </row>
    <row r="146" spans="28:29" x14ac:dyDescent="0.25">
      <c r="AB146" s="1525"/>
      <c r="AC146" s="1439"/>
    </row>
    <row r="147" spans="28:29" x14ac:dyDescent="0.25">
      <c r="AB147" s="1525"/>
      <c r="AC147" s="1439"/>
    </row>
    <row r="148" spans="28:29" x14ac:dyDescent="0.25">
      <c r="AB148" s="1525"/>
      <c r="AC148" s="1439"/>
    </row>
    <row r="149" spans="28:29" x14ac:dyDescent="0.25">
      <c r="AB149" s="1525"/>
      <c r="AC149" s="1439"/>
    </row>
    <row r="150" spans="28:29" x14ac:dyDescent="0.25">
      <c r="AB150" s="1525"/>
      <c r="AC150" s="1439"/>
    </row>
    <row r="151" spans="28:29" x14ac:dyDescent="0.25">
      <c r="AB151" s="1525"/>
      <c r="AC151" s="1439"/>
    </row>
    <row r="152" spans="28:29" x14ac:dyDescent="0.25">
      <c r="AB152" s="1525"/>
      <c r="AC152" s="1439"/>
    </row>
    <row r="153" spans="28:29" x14ac:dyDescent="0.25">
      <c r="AB153" s="1525"/>
      <c r="AC153" s="1439"/>
    </row>
    <row r="154" spans="28:29" x14ac:dyDescent="0.25">
      <c r="AB154" s="1525"/>
      <c r="AC154" s="1439"/>
    </row>
    <row r="155" spans="28:29" x14ac:dyDescent="0.25">
      <c r="AB155" s="1525"/>
      <c r="AC155" s="1439"/>
    </row>
    <row r="156" spans="28:29" x14ac:dyDescent="0.25">
      <c r="AB156" s="1525"/>
      <c r="AC156" s="1439"/>
    </row>
    <row r="157" spans="28:29" x14ac:dyDescent="0.25">
      <c r="AB157" s="1525"/>
      <c r="AC157" s="1439"/>
    </row>
    <row r="158" spans="28:29" x14ac:dyDescent="0.25">
      <c r="AB158" s="1525"/>
      <c r="AC158" s="1439"/>
    </row>
    <row r="159" spans="28:29" x14ac:dyDescent="0.25">
      <c r="AB159" s="1525"/>
      <c r="AC159" s="1439"/>
    </row>
    <row r="160" spans="28:29" x14ac:dyDescent="0.25">
      <c r="AB160" s="1525"/>
      <c r="AC160" s="1439"/>
    </row>
    <row r="161" spans="28:29" x14ac:dyDescent="0.25">
      <c r="AB161" s="1525"/>
      <c r="AC161" s="1439"/>
    </row>
    <row r="162" spans="28:29" x14ac:dyDescent="0.25">
      <c r="AB162" s="1525"/>
      <c r="AC162" s="1439"/>
    </row>
    <row r="163" spans="28:29" x14ac:dyDescent="0.25">
      <c r="AB163" s="1525"/>
      <c r="AC163" s="1439"/>
    </row>
    <row r="164" spans="28:29" x14ac:dyDescent="0.25">
      <c r="AB164" s="1525"/>
      <c r="AC164" s="1439"/>
    </row>
    <row r="165" spans="28:29" x14ac:dyDescent="0.25">
      <c r="AB165" s="1525"/>
      <c r="AC165" s="1439"/>
    </row>
    <row r="166" spans="28:29" x14ac:dyDescent="0.25">
      <c r="AB166" s="1525"/>
      <c r="AC166" s="1439"/>
    </row>
    <row r="167" spans="28:29" x14ac:dyDescent="0.25">
      <c r="AB167" s="1525"/>
      <c r="AC167" s="1439"/>
    </row>
    <row r="168" spans="28:29" x14ac:dyDescent="0.25">
      <c r="AB168" s="1525"/>
      <c r="AC168" s="1439"/>
    </row>
    <row r="169" spans="28:29" x14ac:dyDescent="0.25">
      <c r="AB169" s="1525"/>
      <c r="AC169" s="1439"/>
    </row>
    <row r="170" spans="28:29" x14ac:dyDescent="0.25">
      <c r="AB170" s="1525"/>
      <c r="AC170" s="1439"/>
    </row>
    <row r="171" spans="28:29" x14ac:dyDescent="0.25">
      <c r="AB171" s="1525"/>
      <c r="AC171" s="1439"/>
    </row>
    <row r="172" spans="28:29" x14ac:dyDescent="0.25">
      <c r="AB172" s="1525"/>
      <c r="AC172" s="1439"/>
    </row>
    <row r="173" spans="28:29" x14ac:dyDescent="0.25">
      <c r="AB173" s="1525"/>
      <c r="AC173" s="1439"/>
    </row>
    <row r="174" spans="28:29" x14ac:dyDescent="0.25">
      <c r="AB174" s="1525"/>
      <c r="AC174" s="1439"/>
    </row>
    <row r="175" spans="28:29" x14ac:dyDescent="0.25">
      <c r="AB175" s="1525"/>
      <c r="AC175" s="1439"/>
    </row>
    <row r="176" spans="28:29" x14ac:dyDescent="0.25">
      <c r="AB176" s="1525"/>
      <c r="AC176" s="1439"/>
    </row>
    <row r="177" spans="28:29" x14ac:dyDescent="0.25">
      <c r="AB177" s="1525"/>
      <c r="AC177" s="1439"/>
    </row>
    <row r="178" spans="28:29" x14ac:dyDescent="0.25">
      <c r="AB178" s="1525"/>
      <c r="AC178" s="1439"/>
    </row>
    <row r="179" spans="28:29" x14ac:dyDescent="0.25">
      <c r="AB179" s="1525"/>
      <c r="AC179" s="1439"/>
    </row>
    <row r="180" spans="28:29" x14ac:dyDescent="0.25">
      <c r="AB180" s="1525"/>
      <c r="AC180" s="1439"/>
    </row>
    <row r="181" spans="28:29" x14ac:dyDescent="0.25">
      <c r="AB181" s="1525"/>
      <c r="AC181" s="1439"/>
    </row>
    <row r="182" spans="28:29" x14ac:dyDescent="0.25">
      <c r="AB182" s="1525"/>
      <c r="AC182" s="1439"/>
    </row>
    <row r="183" spans="28:29" x14ac:dyDescent="0.25">
      <c r="AB183" s="1525"/>
      <c r="AC183" s="1439"/>
    </row>
    <row r="184" spans="28:29" x14ac:dyDescent="0.25">
      <c r="AB184" s="1525"/>
      <c r="AC184" s="1439"/>
    </row>
    <row r="185" spans="28:29" x14ac:dyDescent="0.25">
      <c r="AB185" s="1525"/>
      <c r="AC185" s="1439"/>
    </row>
    <row r="186" spans="28:29" x14ac:dyDescent="0.25">
      <c r="AB186" s="1525"/>
      <c r="AC186" s="1439"/>
    </row>
    <row r="187" spans="28:29" x14ac:dyDescent="0.25">
      <c r="AB187" s="1525"/>
      <c r="AC187" s="1439"/>
    </row>
    <row r="188" spans="28:29" x14ac:dyDescent="0.25">
      <c r="AB188" s="1525"/>
      <c r="AC188" s="1439"/>
    </row>
    <row r="189" spans="28:29" x14ac:dyDescent="0.25">
      <c r="AB189" s="1525"/>
      <c r="AC189" s="1439"/>
    </row>
    <row r="190" spans="28:29" x14ac:dyDescent="0.25">
      <c r="AB190" s="1525"/>
      <c r="AC190" s="1439"/>
    </row>
    <row r="191" spans="28:29" x14ac:dyDescent="0.25">
      <c r="AB191" s="1525"/>
      <c r="AC191" s="1439"/>
    </row>
    <row r="192" spans="28:29" x14ac:dyDescent="0.25">
      <c r="AB192" s="1525"/>
      <c r="AC192" s="1439"/>
    </row>
    <row r="193" spans="28:29" x14ac:dyDescent="0.25">
      <c r="AB193" s="1525"/>
      <c r="AC193" s="1439"/>
    </row>
    <row r="194" spans="28:29" x14ac:dyDescent="0.25">
      <c r="AB194" s="1525"/>
      <c r="AC194" s="1439"/>
    </row>
    <row r="195" spans="28:29" x14ac:dyDescent="0.25">
      <c r="AB195" s="1525"/>
      <c r="AC195" s="1439"/>
    </row>
    <row r="196" spans="28:29" x14ac:dyDescent="0.25">
      <c r="AB196" s="1525"/>
      <c r="AC196" s="1439"/>
    </row>
    <row r="197" spans="28:29" x14ac:dyDescent="0.25">
      <c r="AB197" s="1525"/>
      <c r="AC197" s="1439"/>
    </row>
    <row r="198" spans="28:29" x14ac:dyDescent="0.25">
      <c r="AB198" s="1525"/>
      <c r="AC198" s="1439"/>
    </row>
    <row r="199" spans="28:29" x14ac:dyDescent="0.25">
      <c r="AB199" s="1525"/>
      <c r="AC199" s="1439"/>
    </row>
    <row r="200" spans="28:29" x14ac:dyDescent="0.25">
      <c r="AB200" s="1525"/>
      <c r="AC200" s="1439"/>
    </row>
    <row r="201" spans="28:29" x14ac:dyDescent="0.25">
      <c r="AB201" s="1525"/>
      <c r="AC201" s="1439"/>
    </row>
    <row r="202" spans="28:29" x14ac:dyDescent="0.25">
      <c r="AB202" s="1525"/>
      <c r="AC202" s="1439"/>
    </row>
    <row r="203" spans="28:29" x14ac:dyDescent="0.25">
      <c r="AB203" s="1525"/>
      <c r="AC203" s="1439"/>
    </row>
    <row r="204" spans="28:29" x14ac:dyDescent="0.25">
      <c r="AB204" s="1525"/>
      <c r="AC204" s="1439"/>
    </row>
    <row r="205" spans="28:29" x14ac:dyDescent="0.25">
      <c r="AB205" s="1525"/>
      <c r="AC205" s="1439"/>
    </row>
    <row r="206" spans="28:29" x14ac:dyDescent="0.25">
      <c r="AB206" s="1525"/>
      <c r="AC206" s="1439"/>
    </row>
    <row r="207" spans="28:29" x14ac:dyDescent="0.25">
      <c r="AB207" s="1525"/>
      <c r="AC207" s="1439"/>
    </row>
    <row r="208" spans="28:29" x14ac:dyDescent="0.25">
      <c r="AB208" s="1525"/>
      <c r="AC208" s="1439"/>
    </row>
    <row r="209" spans="28:29" x14ac:dyDescent="0.25">
      <c r="AB209" s="1525"/>
      <c r="AC209" s="1439"/>
    </row>
    <row r="210" spans="28:29" x14ac:dyDescent="0.25">
      <c r="AB210" s="1525"/>
      <c r="AC210" s="1439"/>
    </row>
    <row r="211" spans="28:29" x14ac:dyDescent="0.25">
      <c r="AB211" s="1525"/>
      <c r="AC211" s="1439"/>
    </row>
    <row r="212" spans="28:29" x14ac:dyDescent="0.25">
      <c r="AB212" s="1525"/>
      <c r="AC212" s="1439"/>
    </row>
    <row r="213" spans="28:29" x14ac:dyDescent="0.25">
      <c r="AB213" s="1525"/>
      <c r="AC213" s="1439"/>
    </row>
    <row r="214" spans="28:29" x14ac:dyDescent="0.25">
      <c r="AB214" s="1525"/>
      <c r="AC214" s="1439"/>
    </row>
    <row r="215" spans="28:29" x14ac:dyDescent="0.25">
      <c r="AB215" s="1525"/>
      <c r="AC215" s="1439"/>
    </row>
    <row r="216" spans="28:29" x14ac:dyDescent="0.25">
      <c r="AB216" s="1525"/>
      <c r="AC216" s="1439"/>
    </row>
    <row r="217" spans="28:29" x14ac:dyDescent="0.25">
      <c r="AB217" s="1525"/>
      <c r="AC217" s="1439"/>
    </row>
    <row r="218" spans="28:29" x14ac:dyDescent="0.25">
      <c r="AB218" s="1525"/>
      <c r="AC218" s="1439"/>
    </row>
    <row r="219" spans="28:29" x14ac:dyDescent="0.25">
      <c r="AB219" s="1525"/>
      <c r="AC219" s="1439"/>
    </row>
    <row r="220" spans="28:29" x14ac:dyDescent="0.25">
      <c r="AB220" s="1525"/>
      <c r="AC220" s="1439"/>
    </row>
    <row r="221" spans="28:29" x14ac:dyDescent="0.25">
      <c r="AB221" s="1525"/>
      <c r="AC221" s="1439"/>
    </row>
    <row r="222" spans="28:29" x14ac:dyDescent="0.25">
      <c r="AB222" s="1525"/>
      <c r="AC222" s="1439"/>
    </row>
    <row r="223" spans="28:29" x14ac:dyDescent="0.25">
      <c r="AB223" s="1525"/>
      <c r="AC223" s="1439"/>
    </row>
    <row r="224" spans="28:29" x14ac:dyDescent="0.25">
      <c r="AB224" s="1525"/>
      <c r="AC224" s="1439"/>
    </row>
    <row r="225" spans="28:29" x14ac:dyDescent="0.25">
      <c r="AB225" s="1525"/>
      <c r="AC225" s="1439"/>
    </row>
    <row r="226" spans="28:29" x14ac:dyDescent="0.25">
      <c r="AB226" s="1525"/>
      <c r="AC226" s="1439"/>
    </row>
    <row r="227" spans="28:29" x14ac:dyDescent="0.25">
      <c r="AB227" s="1525"/>
      <c r="AC227" s="1439"/>
    </row>
    <row r="228" spans="28:29" x14ac:dyDescent="0.25">
      <c r="AB228" s="1525"/>
      <c r="AC228" s="1439"/>
    </row>
    <row r="229" spans="28:29" x14ac:dyDescent="0.25">
      <c r="AB229" s="1525"/>
      <c r="AC229" s="1439"/>
    </row>
    <row r="230" spans="28:29" x14ac:dyDescent="0.25">
      <c r="AB230" s="1525"/>
      <c r="AC230" s="1439"/>
    </row>
    <row r="231" spans="28:29" x14ac:dyDescent="0.25">
      <c r="AB231" s="1525"/>
      <c r="AC231" s="1439"/>
    </row>
    <row r="232" spans="28:29" x14ac:dyDescent="0.25">
      <c r="AB232" s="1525"/>
      <c r="AC232" s="1439"/>
    </row>
    <row r="233" spans="28:29" x14ac:dyDescent="0.25">
      <c r="AB233" s="1525"/>
      <c r="AC233" s="1439"/>
    </row>
    <row r="234" spans="28:29" x14ac:dyDescent="0.25">
      <c r="AB234" s="1525"/>
      <c r="AC234" s="1439"/>
    </row>
    <row r="235" spans="28:29" x14ac:dyDescent="0.25">
      <c r="AB235" s="1525"/>
      <c r="AC235" s="1439"/>
    </row>
    <row r="236" spans="28:29" x14ac:dyDescent="0.25">
      <c r="AB236" s="1525"/>
      <c r="AC236" s="1439"/>
    </row>
    <row r="237" spans="28:29" x14ac:dyDescent="0.25">
      <c r="AB237" s="1525"/>
      <c r="AC237" s="1439"/>
    </row>
    <row r="238" spans="28:29" x14ac:dyDescent="0.25">
      <c r="AB238" s="1525"/>
      <c r="AC238" s="1439"/>
    </row>
    <row r="239" spans="28:29" x14ac:dyDescent="0.25">
      <c r="AB239" s="1525"/>
      <c r="AC239" s="1439"/>
    </row>
    <row r="240" spans="28:29" x14ac:dyDescent="0.25">
      <c r="AB240" s="1525"/>
      <c r="AC240" s="1439"/>
    </row>
    <row r="241" spans="28:29" x14ac:dyDescent="0.25">
      <c r="AB241" s="1525"/>
      <c r="AC241" s="1439"/>
    </row>
    <row r="242" spans="28:29" x14ac:dyDescent="0.25">
      <c r="AB242" s="1525"/>
      <c r="AC242" s="1439"/>
    </row>
    <row r="243" spans="28:29" x14ac:dyDescent="0.25">
      <c r="AB243" s="1525"/>
      <c r="AC243" s="1439"/>
    </row>
    <row r="244" spans="28:29" x14ac:dyDescent="0.25">
      <c r="AB244" s="1525"/>
      <c r="AC244" s="1439"/>
    </row>
    <row r="245" spans="28:29" x14ac:dyDescent="0.25">
      <c r="AB245" s="1525"/>
      <c r="AC245" s="1439"/>
    </row>
    <row r="246" spans="28:29" x14ac:dyDescent="0.25">
      <c r="AB246" s="1525"/>
      <c r="AC246" s="1439"/>
    </row>
    <row r="247" spans="28:29" x14ac:dyDescent="0.25">
      <c r="AB247" s="1525"/>
      <c r="AC247" s="1439"/>
    </row>
    <row r="248" spans="28:29" x14ac:dyDescent="0.25">
      <c r="AB248" s="1525"/>
      <c r="AC248" s="1439"/>
    </row>
    <row r="249" spans="28:29" x14ac:dyDescent="0.25">
      <c r="AB249" s="1525"/>
      <c r="AC249" s="1439"/>
    </row>
    <row r="250" spans="28:29" x14ac:dyDescent="0.25">
      <c r="AB250" s="1525"/>
      <c r="AC250" s="1439"/>
    </row>
    <row r="251" spans="28:29" x14ac:dyDescent="0.25">
      <c r="AB251" s="1525"/>
      <c r="AC251" s="1439"/>
    </row>
    <row r="252" spans="28:29" x14ac:dyDescent="0.25">
      <c r="AB252" s="1525"/>
      <c r="AC252" s="1439"/>
    </row>
    <row r="253" spans="28:29" x14ac:dyDescent="0.25">
      <c r="AB253" s="1525"/>
      <c r="AC253" s="1439"/>
    </row>
    <row r="254" spans="28:29" x14ac:dyDescent="0.25">
      <c r="AB254" s="1525"/>
      <c r="AC254" s="1439"/>
    </row>
    <row r="255" spans="28:29" x14ac:dyDescent="0.25">
      <c r="AB255" s="1525"/>
      <c r="AC255" s="1439"/>
    </row>
    <row r="256" spans="28:29" x14ac:dyDescent="0.25">
      <c r="AB256" s="1525"/>
      <c r="AC256" s="1439"/>
    </row>
    <row r="257" spans="28:29" x14ac:dyDescent="0.25">
      <c r="AB257" s="1525"/>
      <c r="AC257" s="1439"/>
    </row>
    <row r="258" spans="28:29" x14ac:dyDescent="0.25">
      <c r="AB258" s="1525"/>
      <c r="AC258" s="1439"/>
    </row>
    <row r="259" spans="28:29" x14ac:dyDescent="0.25">
      <c r="AB259" s="1525"/>
      <c r="AC259" s="1439"/>
    </row>
    <row r="260" spans="28:29" x14ac:dyDescent="0.25">
      <c r="AB260" s="1525"/>
      <c r="AC260" s="1439"/>
    </row>
    <row r="261" spans="28:29" x14ac:dyDescent="0.25">
      <c r="AB261" s="1525"/>
      <c r="AC261" s="1439"/>
    </row>
    <row r="262" spans="28:29" x14ac:dyDescent="0.25">
      <c r="AB262" s="1525"/>
      <c r="AC262" s="1439"/>
    </row>
    <row r="263" spans="28:29" x14ac:dyDescent="0.25">
      <c r="AB263" s="1525"/>
      <c r="AC263" s="1439"/>
    </row>
    <row r="264" spans="28:29" x14ac:dyDescent="0.25">
      <c r="AB264" s="1525"/>
      <c r="AC264" s="1439"/>
    </row>
    <row r="265" spans="28:29" x14ac:dyDescent="0.25">
      <c r="AB265" s="1525"/>
      <c r="AC265" s="1439"/>
    </row>
    <row r="266" spans="28:29" x14ac:dyDescent="0.25">
      <c r="AB266" s="1525"/>
      <c r="AC266" s="1439"/>
    </row>
    <row r="267" spans="28:29" x14ac:dyDescent="0.25">
      <c r="AB267" s="1525"/>
      <c r="AC267" s="1439"/>
    </row>
    <row r="268" spans="28:29" x14ac:dyDescent="0.25">
      <c r="AB268" s="1525"/>
      <c r="AC268" s="1439"/>
    </row>
    <row r="269" spans="28:29" x14ac:dyDescent="0.25">
      <c r="AB269" s="1525"/>
      <c r="AC269" s="1439"/>
    </row>
    <row r="270" spans="28:29" x14ac:dyDescent="0.25">
      <c r="AB270" s="1525"/>
      <c r="AC270" s="1439"/>
    </row>
    <row r="271" spans="28:29" x14ac:dyDescent="0.25">
      <c r="AB271" s="1525"/>
      <c r="AC271" s="1439"/>
    </row>
    <row r="272" spans="28:29" x14ac:dyDescent="0.25">
      <c r="AB272" s="1525"/>
      <c r="AC272" s="1439"/>
    </row>
    <row r="273" spans="28:29" x14ac:dyDescent="0.25">
      <c r="AB273" s="1525"/>
      <c r="AC273" s="1439"/>
    </row>
    <row r="274" spans="28:29" x14ac:dyDescent="0.25">
      <c r="AB274" s="1525"/>
      <c r="AC274" s="1439"/>
    </row>
    <row r="275" spans="28:29" x14ac:dyDescent="0.25">
      <c r="AB275" s="1525"/>
      <c r="AC275" s="1439"/>
    </row>
    <row r="276" spans="28:29" x14ac:dyDescent="0.25">
      <c r="AB276" s="1525"/>
      <c r="AC276" s="1439"/>
    </row>
    <row r="277" spans="28:29" x14ac:dyDescent="0.25">
      <c r="AB277" s="1525"/>
      <c r="AC277" s="1439"/>
    </row>
    <row r="278" spans="28:29" x14ac:dyDescent="0.25">
      <c r="AB278" s="1525"/>
      <c r="AC278" s="1439"/>
    </row>
    <row r="279" spans="28:29" x14ac:dyDescent="0.25">
      <c r="AB279" s="1525"/>
      <c r="AC279" s="1439"/>
    </row>
    <row r="280" spans="28:29" x14ac:dyDescent="0.25">
      <c r="AB280" s="1525"/>
      <c r="AC280" s="1439"/>
    </row>
    <row r="281" spans="28:29" x14ac:dyDescent="0.25">
      <c r="AB281" s="1525"/>
      <c r="AC281" s="1439"/>
    </row>
    <row r="282" spans="28:29" x14ac:dyDescent="0.25">
      <c r="AB282" s="1525"/>
      <c r="AC282" s="1439"/>
    </row>
    <row r="283" spans="28:29" x14ac:dyDescent="0.25">
      <c r="AB283" s="1525"/>
      <c r="AC283" s="1439"/>
    </row>
    <row r="284" spans="28:29" x14ac:dyDescent="0.25">
      <c r="AB284" s="1525"/>
      <c r="AC284" s="1439"/>
    </row>
    <row r="285" spans="28:29" x14ac:dyDescent="0.25">
      <c r="AB285" s="1525"/>
      <c r="AC285" s="1439"/>
    </row>
    <row r="286" spans="28:29" x14ac:dyDescent="0.25">
      <c r="AB286" s="1525"/>
      <c r="AC286" s="1439"/>
    </row>
    <row r="287" spans="28:29" x14ac:dyDescent="0.25">
      <c r="AB287" s="1525"/>
      <c r="AC287" s="1439"/>
    </row>
    <row r="288" spans="28:29" x14ac:dyDescent="0.25">
      <c r="AB288" s="1525"/>
      <c r="AC288" s="1439"/>
    </row>
  </sheetData>
  <sheetProtection sheet="1" objects="1" scenarios="1"/>
  <dataConsolidate/>
  <phoneticPr fontId="2" type="noConversion"/>
  <pageMargins left="0.74803149606299213" right="0.74803149606299213" top="0.98425196850393704" bottom="0.98425196850393704" header="0.51181102362204722" footer="0.51181102362204722"/>
  <pageSetup scale="75" orientation="portrait" horizontalDpi="200" verticalDpi="200" r:id="rId1"/>
  <headerFooter alignWithMargins="0"/>
  <drawing r:id="rId2"/>
  <legacyDrawing r:id="rId3"/>
  <controls>
    <mc:AlternateContent xmlns:mc="http://schemas.openxmlformats.org/markup-compatibility/2006">
      <mc:Choice Requires="x14">
        <control shapeId="124042" r:id="rId4" name="ToggleHiddenColumns">
          <controlPr defaultSize="0" autoLine="0" r:id="rId5">
            <anchor moveWithCells="1">
              <from>
                <xdr:col>1</xdr:col>
                <xdr:colOff>228600</xdr:colOff>
                <xdr:row>42</xdr:row>
                <xdr:rowOff>6350</xdr:rowOff>
              </from>
              <to>
                <xdr:col>5</xdr:col>
                <xdr:colOff>209550</xdr:colOff>
                <xdr:row>44</xdr:row>
                <xdr:rowOff>25400</xdr:rowOff>
              </to>
            </anchor>
          </controlPr>
        </control>
      </mc:Choice>
      <mc:Fallback>
        <control shapeId="124042" r:id="rId4" name="ToggleHiddenColumns"/>
      </mc:Fallback>
    </mc:AlternateContent>
    <mc:AlternateContent xmlns:mc="http://schemas.openxmlformats.org/markup-compatibility/2006">
      <mc:Choice Requires="x14">
        <control shapeId="124040" r:id="rId6" name="TogglePreAuditColums">
          <controlPr defaultSize="0" autoLine="0" r:id="rId7">
            <anchor moveWithCells="1">
              <from>
                <xdr:col>1</xdr:col>
                <xdr:colOff>260350</xdr:colOff>
                <xdr:row>35</xdr:row>
                <xdr:rowOff>19050</xdr:rowOff>
              </from>
              <to>
                <xdr:col>5</xdr:col>
                <xdr:colOff>241300</xdr:colOff>
                <xdr:row>37</xdr:row>
                <xdr:rowOff>19050</xdr:rowOff>
              </to>
            </anchor>
          </controlPr>
        </control>
      </mc:Choice>
      <mc:Fallback>
        <control shapeId="124040" r:id="rId6" name="TogglePreAuditColums"/>
      </mc:Fallback>
    </mc:AlternateContent>
    <mc:AlternateContent xmlns:mc="http://schemas.openxmlformats.org/markup-compatibility/2006">
      <mc:Choice Requires="x14">
        <control shapeId="124039" r:id="rId8" name="ToggleReferenceColumns">
          <controlPr defaultSize="0" autoLine="0" r:id="rId9">
            <anchor moveWithCells="1">
              <from>
                <xdr:col>1</xdr:col>
                <xdr:colOff>247650</xdr:colOff>
                <xdr:row>37</xdr:row>
                <xdr:rowOff>63500</xdr:rowOff>
              </from>
              <to>
                <xdr:col>5</xdr:col>
                <xdr:colOff>228600</xdr:colOff>
                <xdr:row>39</xdr:row>
                <xdr:rowOff>57150</xdr:rowOff>
              </to>
            </anchor>
          </controlPr>
        </control>
      </mc:Choice>
      <mc:Fallback>
        <control shapeId="124039" r:id="rId8" name="ToggleReferenceColumns"/>
      </mc:Fallback>
    </mc:AlternateContent>
    <mc:AlternateContent xmlns:mc="http://schemas.openxmlformats.org/markup-compatibility/2006">
      <mc:Choice Requires="x14">
        <control shapeId="123950" r:id="rId10" name="TextBox6">
          <controlPr defaultSize="0" autoLine="0" linkedCell="Contacts!B64" r:id="rId11">
            <anchor moveWithCells="1">
              <from>
                <xdr:col>9</xdr:col>
                <xdr:colOff>57150</xdr:colOff>
                <xdr:row>9</xdr:row>
                <xdr:rowOff>139700</xdr:rowOff>
              </from>
              <to>
                <xdr:col>11</xdr:col>
                <xdr:colOff>247650</xdr:colOff>
                <xdr:row>11</xdr:row>
                <xdr:rowOff>76200</xdr:rowOff>
              </to>
            </anchor>
          </controlPr>
        </control>
      </mc:Choice>
      <mc:Fallback>
        <control shapeId="123950" r:id="rId10" name="TextBox6"/>
      </mc:Fallback>
    </mc:AlternateContent>
    <mc:AlternateContent xmlns:mc="http://schemas.openxmlformats.org/markup-compatibility/2006">
      <mc:Choice Requires="x14">
        <control shapeId="123948" r:id="rId12" name="TextBox5">
          <controlPr defaultSize="0" autoLine="0" linkedCell="Contacts!B65" r:id="rId13">
            <anchor moveWithCells="1">
              <from>
                <xdr:col>5</xdr:col>
                <xdr:colOff>190500</xdr:colOff>
                <xdr:row>12</xdr:row>
                <xdr:rowOff>25400</xdr:rowOff>
              </from>
              <to>
                <xdr:col>11</xdr:col>
                <xdr:colOff>247650</xdr:colOff>
                <xdr:row>13</xdr:row>
                <xdr:rowOff>120650</xdr:rowOff>
              </to>
            </anchor>
          </controlPr>
        </control>
      </mc:Choice>
      <mc:Fallback>
        <control shapeId="123948" r:id="rId12" name="TextBox5"/>
      </mc:Fallback>
    </mc:AlternateContent>
    <mc:AlternateContent xmlns:mc="http://schemas.openxmlformats.org/markup-compatibility/2006">
      <mc:Choice Requires="x14">
        <control shapeId="123947" r:id="rId14" name="TextBox4">
          <controlPr defaultSize="0" autoLine="0" linkedCell="Contacts!B62" r:id="rId15">
            <anchor moveWithCells="1">
              <from>
                <xdr:col>5</xdr:col>
                <xdr:colOff>203200</xdr:colOff>
                <xdr:row>9</xdr:row>
                <xdr:rowOff>120650</xdr:rowOff>
              </from>
              <to>
                <xdr:col>7</xdr:col>
                <xdr:colOff>533400</xdr:colOff>
                <xdr:row>11</xdr:row>
                <xdr:rowOff>57150</xdr:rowOff>
              </to>
            </anchor>
          </controlPr>
        </control>
      </mc:Choice>
      <mc:Fallback>
        <control shapeId="123947" r:id="rId14" name="TextBox4"/>
      </mc:Fallback>
    </mc:AlternateContent>
    <mc:AlternateContent xmlns:mc="http://schemas.openxmlformats.org/markup-compatibility/2006">
      <mc:Choice Requires="x14">
        <control shapeId="123946" r:id="rId16" name="TextBox3">
          <controlPr defaultSize="0" autoLine="0" linkedCell="Contacts!B61" r:id="rId17">
            <anchor moveWithCells="1">
              <from>
                <xdr:col>5</xdr:col>
                <xdr:colOff>190500</xdr:colOff>
                <xdr:row>7</xdr:row>
                <xdr:rowOff>44450</xdr:rowOff>
              </from>
              <to>
                <xdr:col>11</xdr:col>
                <xdr:colOff>247650</xdr:colOff>
                <xdr:row>8</xdr:row>
                <xdr:rowOff>139700</xdr:rowOff>
              </to>
            </anchor>
          </controlPr>
        </control>
      </mc:Choice>
      <mc:Fallback>
        <control shapeId="123946" r:id="rId16" name="TextBox3"/>
      </mc:Fallback>
    </mc:AlternateContent>
    <mc:AlternateContent xmlns:mc="http://schemas.openxmlformats.org/markup-compatibility/2006">
      <mc:Choice Requires="x14">
        <control shapeId="123931" r:id="rId18" name="Drop Down 27">
          <controlPr defaultSize="0" autoLine="0" autoPict="0">
            <anchor moveWithCells="1">
              <from>
                <xdr:col>5</xdr:col>
                <xdr:colOff>209550</xdr:colOff>
                <xdr:row>18</xdr:row>
                <xdr:rowOff>25400</xdr:rowOff>
              </from>
              <to>
                <xdr:col>6</xdr:col>
                <xdr:colOff>488950</xdr:colOff>
                <xdr:row>19</xdr:row>
                <xdr:rowOff>120650</xdr:rowOff>
              </to>
            </anchor>
          </controlPr>
        </control>
      </mc:Choice>
    </mc:AlternateContent>
    <mc:AlternateContent xmlns:mc="http://schemas.openxmlformats.org/markup-compatibility/2006">
      <mc:Choice Requires="x14">
        <control shapeId="123932" r:id="rId19" name="Drop Down 28">
          <controlPr defaultSize="0" autoLine="0" autoPict="0">
            <anchor moveWithCells="1">
              <from>
                <xdr:col>5</xdr:col>
                <xdr:colOff>203200</xdr:colOff>
                <xdr:row>20</xdr:row>
                <xdr:rowOff>114300</xdr:rowOff>
              </from>
              <to>
                <xdr:col>7</xdr:col>
                <xdr:colOff>603250</xdr:colOff>
                <xdr:row>22</xdr:row>
                <xdr:rowOff>44450</xdr:rowOff>
              </to>
            </anchor>
          </controlPr>
        </control>
      </mc:Choice>
    </mc:AlternateContent>
    <mc:AlternateContent xmlns:mc="http://schemas.openxmlformats.org/markup-compatibility/2006">
      <mc:Choice Requires="x14">
        <control shapeId="123936" r:id="rId20" name="Drop Down 32">
          <controlPr defaultSize="0" autoLine="0" autoPict="0">
            <anchor moveWithCells="1">
              <from>
                <xdr:col>5</xdr:col>
                <xdr:colOff>203200</xdr:colOff>
                <xdr:row>15</xdr:row>
                <xdr:rowOff>57150</xdr:rowOff>
              </from>
              <to>
                <xdr:col>7</xdr:col>
                <xdr:colOff>247650</xdr:colOff>
                <xdr:row>16</xdr:row>
                <xdr:rowOff>152400</xdr:rowOff>
              </to>
            </anchor>
          </controlPr>
        </control>
      </mc:Choice>
    </mc:AlternateContent>
    <mc:AlternateContent xmlns:mc="http://schemas.openxmlformats.org/markup-compatibility/2006">
      <mc:Choice Requires="x14">
        <control shapeId="124151" r:id="rId21" name="Drop Down 247">
          <controlPr defaultSize="0" autoLine="0" autoPict="0">
            <anchor moveWithCells="1">
              <from>
                <xdr:col>5</xdr:col>
                <xdr:colOff>203200</xdr:colOff>
                <xdr:row>4</xdr:row>
                <xdr:rowOff>76200</xdr:rowOff>
              </from>
              <to>
                <xdr:col>11</xdr:col>
                <xdr:colOff>247650</xdr:colOff>
                <xdr:row>6</xdr:row>
                <xdr:rowOff>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enableFormatConditionsCalculation="0">
    <tabColor indexed="42"/>
    <pageSetUpPr fitToPage="1"/>
  </sheetPr>
  <dimension ref="A1:P275"/>
  <sheetViews>
    <sheetView showGridLines="0" view="pageBreakPreview" zoomScale="93" zoomScaleNormal="100" zoomScaleSheetLayoutView="93" workbookViewId="0">
      <pane xSplit="1" ySplit="4" topLeftCell="B155" activePane="bottomRight" state="frozen"/>
      <selection pane="topRight"/>
      <selection pane="bottomLeft"/>
      <selection pane="bottomRight" activeCell="L150" sqref="L150"/>
    </sheetView>
  </sheetViews>
  <sheetFormatPr defaultColWidth="9.1796875" defaultRowHeight="10.5" x14ac:dyDescent="0.25"/>
  <cols>
    <col min="1" max="1" width="30.7265625" style="149" customWidth="1"/>
    <col min="2" max="2" width="3" style="247" customWidth="1"/>
    <col min="3" max="8" width="9.26953125" style="149" customWidth="1"/>
    <col min="9" max="9" width="9.1796875" style="149" customWidth="1"/>
    <col min="10" max="12" width="9.26953125" style="149" customWidth="1"/>
    <col min="13" max="13" width="9.81640625" style="149" customWidth="1"/>
    <col min="14" max="14" width="9.54296875" style="149" customWidth="1"/>
    <col min="15" max="15" width="9.81640625" style="149" customWidth="1"/>
    <col min="16" max="18" width="9.54296875" style="149" customWidth="1"/>
    <col min="19" max="19" width="9.81640625" style="149" customWidth="1"/>
    <col min="20" max="22" width="9.54296875" style="149" customWidth="1"/>
    <col min="23" max="24" width="9.81640625" style="149" customWidth="1"/>
    <col min="25" max="16384" width="9.1796875" style="149"/>
  </cols>
  <sheetData>
    <row r="1" spans="1:16" s="179" customFormat="1" ht="13" x14ac:dyDescent="0.3">
      <c r="A1" s="147" t="str">
        <f>muni&amp;" - "&amp;TableA1</f>
        <v>KZN225 Msunduzi - Supporting Table SA1 Supportinging detail to 'Budgeted Financial Performance'</v>
      </c>
      <c r="B1" s="147"/>
      <c r="C1" s="147"/>
      <c r="D1" s="147"/>
      <c r="E1" s="147"/>
      <c r="F1" s="147"/>
      <c r="G1" s="147"/>
      <c r="H1" s="147"/>
      <c r="I1" s="147"/>
      <c r="J1" s="147"/>
      <c r="K1" s="147"/>
      <c r="L1" s="147"/>
    </row>
    <row r="2" spans="1:16" ht="28.5" customHeight="1" x14ac:dyDescent="0.25">
      <c r="A2" s="2701" t="str">
        <f>desc</f>
        <v>Description</v>
      </c>
      <c r="B2" s="2703" t="str">
        <f>head27</f>
        <v>Ref</v>
      </c>
      <c r="C2" s="150" t="str">
        <f>head1b</f>
        <v>2009/10</v>
      </c>
      <c r="D2" s="150" t="str">
        <f>head1A</f>
        <v>2010/11</v>
      </c>
      <c r="E2" s="146" t="str">
        <f>Head1</f>
        <v>2011/12</v>
      </c>
      <c r="F2" s="2677" t="str">
        <f>Head2</f>
        <v>Current Year 2012/13</v>
      </c>
      <c r="G2" s="2678"/>
      <c r="H2" s="2678"/>
      <c r="I2" s="2678"/>
      <c r="J2" s="2674" t="str">
        <f>Head3</f>
        <v>2013/14 Medium Term Revenue &amp; Expenditure Framework</v>
      </c>
      <c r="K2" s="2675"/>
      <c r="L2" s="2676"/>
    </row>
    <row r="3" spans="1:16" ht="21" x14ac:dyDescent="0.25">
      <c r="A3" s="2702"/>
      <c r="B3" s="2704"/>
      <c r="C3" s="152" t="str">
        <f>Head5</f>
        <v>Audited Outcome</v>
      </c>
      <c r="D3" s="152" t="str">
        <f>Head5</f>
        <v>Audited Outcome</v>
      </c>
      <c r="E3" s="153" t="str">
        <f>Head5</f>
        <v>Audited Outcome</v>
      </c>
      <c r="F3" s="151" t="str">
        <f>Head6</f>
        <v>Original Budget</v>
      </c>
      <c r="G3" s="152" t="str">
        <f>Head7</f>
        <v>Adjusted Budget</v>
      </c>
      <c r="H3" s="153" t="str">
        <f>Head8</f>
        <v>Full Year Forecast</v>
      </c>
      <c r="I3" s="154" t="str">
        <f>Head5b</f>
        <v>Pre-audit outcome</v>
      </c>
      <c r="J3" s="151" t="str">
        <f>Head9</f>
        <v>Budget Year 2013/14</v>
      </c>
      <c r="K3" s="152" t="str">
        <f>Head10</f>
        <v>Budget Year +1 2014/15</v>
      </c>
      <c r="L3" s="153" t="str">
        <f>Head11</f>
        <v>Budget Year +2 2015/16</v>
      </c>
    </row>
    <row r="4" spans="1:16" x14ac:dyDescent="0.25">
      <c r="A4" s="180" t="s">
        <v>665</v>
      </c>
      <c r="B4" s="290"/>
      <c r="C4" s="138"/>
      <c r="D4" s="138"/>
      <c r="E4" s="156"/>
      <c r="F4" s="155"/>
      <c r="G4" s="138"/>
      <c r="H4" s="156"/>
      <c r="I4" s="157"/>
      <c r="J4" s="155"/>
      <c r="K4" s="138"/>
      <c r="L4" s="156"/>
    </row>
    <row r="5" spans="1:16" x14ac:dyDescent="0.25">
      <c r="A5" s="333" t="s">
        <v>539</v>
      </c>
      <c r="B5" s="291"/>
      <c r="C5" s="399"/>
      <c r="D5" s="399"/>
      <c r="E5" s="195"/>
      <c r="F5" s="400"/>
      <c r="G5" s="399"/>
      <c r="H5" s="195"/>
      <c r="I5" s="309"/>
      <c r="J5" s="401"/>
      <c r="K5" s="399"/>
      <c r="L5" s="195"/>
    </row>
    <row r="6" spans="1:16" x14ac:dyDescent="0.25">
      <c r="A6" s="402" t="str">
        <f>'A4-FinPerf RE'!A5</f>
        <v>Property rates</v>
      </c>
      <c r="B6" s="293">
        <v>6</v>
      </c>
      <c r="C6" s="403"/>
      <c r="D6" s="403"/>
      <c r="E6" s="195"/>
      <c r="F6" s="400"/>
      <c r="G6" s="403"/>
      <c r="H6" s="195"/>
      <c r="I6" s="309"/>
      <c r="J6" s="404"/>
      <c r="K6" s="403"/>
      <c r="L6" s="195"/>
      <c r="M6" s="370"/>
      <c r="N6" s="370"/>
      <c r="O6" s="370"/>
      <c r="P6" s="370"/>
    </row>
    <row r="7" spans="1:16" ht="12" x14ac:dyDescent="0.35">
      <c r="A7" s="1280" t="s">
        <v>440</v>
      </c>
      <c r="B7" s="293"/>
      <c r="C7" s="1672">
        <v>420030161</v>
      </c>
      <c r="D7" s="1672">
        <v>448256813</v>
      </c>
      <c r="E7" s="1673">
        <f>505310156+E8</f>
        <v>878862096</v>
      </c>
      <c r="F7" s="1674">
        <v>862061387</v>
      </c>
      <c r="G7" s="2605">
        <f>F7</f>
        <v>862061387</v>
      </c>
      <c r="H7" s="2605">
        <f>G7</f>
        <v>862061387</v>
      </c>
      <c r="I7" s="2605">
        <f>H7</f>
        <v>862061387</v>
      </c>
      <c r="J7" s="1672">
        <v>975608521</v>
      </c>
      <c r="K7" s="1673">
        <v>1029266990</v>
      </c>
      <c r="L7" s="1673">
        <v>1085876674</v>
      </c>
      <c r="M7" s="370"/>
      <c r="N7" s="370"/>
      <c r="O7" s="370"/>
      <c r="P7" s="370"/>
    </row>
    <row r="8" spans="1:16" x14ac:dyDescent="0.25">
      <c r="A8" s="1537" t="s">
        <v>441</v>
      </c>
      <c r="B8" s="293"/>
      <c r="C8" s="1676">
        <v>0</v>
      </c>
      <c r="D8" s="1676">
        <v>0</v>
      </c>
      <c r="E8" s="1677">
        <v>373551940</v>
      </c>
      <c r="F8" s="1678">
        <v>285659713</v>
      </c>
      <c r="G8" s="1678">
        <v>285659713</v>
      </c>
      <c r="H8" s="1678">
        <v>285659713</v>
      </c>
      <c r="I8" s="1678">
        <v>285659713</v>
      </c>
      <c r="J8" s="1676">
        <v>367504755</v>
      </c>
      <c r="K8" s="1677">
        <v>387717517</v>
      </c>
      <c r="L8" s="1677">
        <v>409041980</v>
      </c>
      <c r="M8" s="370"/>
      <c r="N8" s="370"/>
      <c r="O8" s="370"/>
      <c r="P8" s="370"/>
    </row>
    <row r="9" spans="1:16" x14ac:dyDescent="0.25">
      <c r="A9" s="417" t="s">
        <v>442</v>
      </c>
      <c r="B9" s="293"/>
      <c r="C9" s="213">
        <f>C7-C8</f>
        <v>420030161</v>
      </c>
      <c r="D9" s="213">
        <f t="shared" ref="D9:L9" si="0">D7-D8</f>
        <v>448256813</v>
      </c>
      <c r="E9" s="214">
        <f t="shared" si="0"/>
        <v>505310156</v>
      </c>
      <c r="F9" s="215">
        <f t="shared" si="0"/>
        <v>576401674</v>
      </c>
      <c r="G9" s="213">
        <f t="shared" si="0"/>
        <v>576401674</v>
      </c>
      <c r="H9" s="214">
        <f t="shared" si="0"/>
        <v>576401674</v>
      </c>
      <c r="I9" s="212">
        <f t="shared" si="0"/>
        <v>576401674</v>
      </c>
      <c r="J9" s="216">
        <f t="shared" si="0"/>
        <v>608103766</v>
      </c>
      <c r="K9" s="213">
        <f t="shared" si="0"/>
        <v>641549473</v>
      </c>
      <c r="L9" s="214">
        <f t="shared" si="0"/>
        <v>676834694</v>
      </c>
      <c r="M9" s="370"/>
      <c r="N9" s="370"/>
      <c r="O9" s="370"/>
      <c r="P9" s="370"/>
    </row>
    <row r="10" spans="1:16" ht="5.15" customHeight="1" x14ac:dyDescent="0.25">
      <c r="A10" s="325"/>
      <c r="B10" s="293"/>
      <c r="C10" s="403"/>
      <c r="D10" s="403"/>
      <c r="E10" s="195"/>
      <c r="F10" s="400"/>
      <c r="G10" s="403"/>
      <c r="H10" s="195"/>
      <c r="I10" s="309"/>
      <c r="J10" s="404"/>
      <c r="K10" s="403"/>
      <c r="L10" s="195"/>
      <c r="M10" s="370"/>
      <c r="N10" s="370"/>
      <c r="O10" s="370"/>
      <c r="P10" s="370"/>
    </row>
    <row r="11" spans="1:16" x14ac:dyDescent="0.25">
      <c r="A11" s="402" t="str">
        <f>'A4-FinPerf RE'!A7</f>
        <v>Service charges - electricity revenue</v>
      </c>
      <c r="B11" s="293">
        <v>6</v>
      </c>
      <c r="C11" s="403"/>
      <c r="D11" s="403"/>
      <c r="E11" s="195"/>
      <c r="F11" s="400"/>
      <c r="G11" s="403"/>
      <c r="H11" s="195"/>
      <c r="I11" s="309"/>
      <c r="J11" s="404"/>
      <c r="K11" s="403"/>
      <c r="L11" s="195"/>
      <c r="M11" s="370"/>
      <c r="N11" s="370"/>
      <c r="O11" s="370"/>
      <c r="P11" s="370"/>
    </row>
    <row r="12" spans="1:16" ht="12" x14ac:dyDescent="0.35">
      <c r="A12" s="1280" t="str">
        <f>"Total "&amp;A11</f>
        <v>Total Service charges - electricity revenue</v>
      </c>
      <c r="B12" s="293"/>
      <c r="C12" s="1672">
        <v>816172839</v>
      </c>
      <c r="D12" s="1672">
        <v>1011458928</v>
      </c>
      <c r="E12" s="1673">
        <f>1212660157+E13</f>
        <v>1216308199</v>
      </c>
      <c r="F12" s="2611">
        <v>1416916699</v>
      </c>
      <c r="G12" s="2605">
        <v>1417115010</v>
      </c>
      <c r="H12" s="2605">
        <v>1417115010</v>
      </c>
      <c r="I12" s="2605">
        <v>1417115010</v>
      </c>
      <c r="J12" s="1672">
        <v>1565565850</v>
      </c>
      <c r="K12" s="1673">
        <v>1721469525</v>
      </c>
      <c r="L12" s="2605">
        <v>1892962623</v>
      </c>
      <c r="M12" s="370"/>
      <c r="N12" s="370"/>
      <c r="O12" s="370"/>
      <c r="P12" s="370"/>
    </row>
    <row r="13" spans="1:16" x14ac:dyDescent="0.25">
      <c r="A13" s="1537" t="str">
        <f>$A$8</f>
        <v>less Revenue Foregone</v>
      </c>
      <c r="B13" s="293"/>
      <c r="C13" s="1676">
        <v>0</v>
      </c>
      <c r="D13" s="1676">
        <v>0</v>
      </c>
      <c r="E13" s="1677">
        <v>3648042</v>
      </c>
      <c r="F13" s="1678">
        <v>0</v>
      </c>
      <c r="G13" s="1678"/>
      <c r="H13" s="1678"/>
      <c r="I13" s="1678"/>
      <c r="J13" s="1676">
        <v>6739338</v>
      </c>
      <c r="K13" s="1677">
        <v>6760362</v>
      </c>
      <c r="L13" s="1677">
        <v>6782543</v>
      </c>
      <c r="M13" s="370"/>
      <c r="N13" s="370"/>
      <c r="O13" s="370"/>
      <c r="P13" s="370"/>
    </row>
    <row r="14" spans="1:16" ht="12.75" customHeight="1" x14ac:dyDescent="0.25">
      <c r="A14" s="417" t="str">
        <f>"Net "&amp; A11</f>
        <v>Net Service charges - electricity revenue</v>
      </c>
      <c r="B14" s="293"/>
      <c r="C14" s="213">
        <f t="shared" ref="C14:L14" si="1">C12-C13</f>
        <v>816172839</v>
      </c>
      <c r="D14" s="213">
        <f t="shared" si="1"/>
        <v>1011458928</v>
      </c>
      <c r="E14" s="214">
        <f t="shared" si="1"/>
        <v>1212660157</v>
      </c>
      <c r="F14" s="215">
        <f t="shared" si="1"/>
        <v>1416916699</v>
      </c>
      <c r="G14" s="213">
        <f t="shared" si="1"/>
        <v>1417115010</v>
      </c>
      <c r="H14" s="214">
        <f t="shared" si="1"/>
        <v>1417115010</v>
      </c>
      <c r="I14" s="212">
        <f t="shared" si="1"/>
        <v>1417115010</v>
      </c>
      <c r="J14" s="216">
        <f t="shared" si="1"/>
        <v>1558826512</v>
      </c>
      <c r="K14" s="213">
        <f t="shared" si="1"/>
        <v>1714709163</v>
      </c>
      <c r="L14" s="214">
        <f t="shared" si="1"/>
        <v>1886180080</v>
      </c>
      <c r="M14" s="370"/>
      <c r="N14" s="370"/>
      <c r="O14" s="370"/>
      <c r="P14" s="370"/>
    </row>
    <row r="15" spans="1:16" ht="5.15" customHeight="1" x14ac:dyDescent="0.25">
      <c r="B15" s="293"/>
      <c r="C15" s="1180"/>
      <c r="D15" s="1180"/>
      <c r="E15" s="222"/>
      <c r="F15" s="595"/>
      <c r="G15" s="1180"/>
      <c r="H15" s="222"/>
      <c r="I15" s="241"/>
      <c r="J15" s="1181"/>
      <c r="K15" s="1180"/>
      <c r="L15" s="222"/>
      <c r="M15" s="370"/>
      <c r="N15" s="370"/>
      <c r="O15" s="370"/>
      <c r="P15" s="370"/>
    </row>
    <row r="16" spans="1:16" x14ac:dyDescent="0.25">
      <c r="A16" s="1182" t="str">
        <f>'A4-FinPerf RE'!A8</f>
        <v>Service charges - water revenue</v>
      </c>
      <c r="B16" s="293">
        <v>6</v>
      </c>
      <c r="C16" s="1180"/>
      <c r="D16" s="1180"/>
      <c r="E16" s="222"/>
      <c r="F16" s="595"/>
      <c r="G16" s="1180"/>
      <c r="H16" s="222"/>
      <c r="I16" s="241"/>
      <c r="J16" s="1181"/>
      <c r="K16" s="1180"/>
      <c r="L16" s="222"/>
      <c r="M16" s="370"/>
      <c r="N16" s="370"/>
      <c r="O16" s="370"/>
      <c r="P16" s="370"/>
    </row>
    <row r="17" spans="1:16" ht="12" x14ac:dyDescent="0.35">
      <c r="A17" s="1280" t="str">
        <f>"Total "&amp;A16</f>
        <v>Total Service charges - water revenue</v>
      </c>
      <c r="B17" s="293"/>
      <c r="C17" s="1680">
        <v>213633343</v>
      </c>
      <c r="D17" s="1680">
        <v>270106949</v>
      </c>
      <c r="E17" s="1681">
        <f>288345314+E18</f>
        <v>345940919</v>
      </c>
      <c r="F17" s="1682">
        <v>328336575</v>
      </c>
      <c r="G17" s="2605">
        <v>339545266</v>
      </c>
      <c r="H17" s="2605">
        <v>339545266</v>
      </c>
      <c r="I17" s="2605">
        <v>339545266</v>
      </c>
      <c r="J17" s="1680">
        <v>380286848</v>
      </c>
      <c r="K17" s="1681">
        <v>418010115</v>
      </c>
      <c r="L17" s="2605">
        <v>459488912</v>
      </c>
      <c r="M17" s="370"/>
      <c r="N17" s="370"/>
      <c r="O17" s="370"/>
      <c r="P17" s="370"/>
    </row>
    <row r="18" spans="1:16" x14ac:dyDescent="0.25">
      <c r="A18" s="1537" t="str">
        <f>$A$8</f>
        <v>less Revenue Foregone</v>
      </c>
      <c r="B18" s="293"/>
      <c r="C18" s="1676">
        <v>0</v>
      </c>
      <c r="D18" s="1676">
        <v>0</v>
      </c>
      <c r="E18" s="1677">
        <v>57595605</v>
      </c>
      <c r="F18" s="1678">
        <v>10982919</v>
      </c>
      <c r="G18" s="1679"/>
      <c r="H18" s="1679"/>
      <c r="I18" s="1679"/>
      <c r="J18" s="1676">
        <v>6787056</v>
      </c>
      <c r="K18" s="1677">
        <v>7160344</v>
      </c>
      <c r="L18" s="1677">
        <v>7554163</v>
      </c>
      <c r="M18" s="370"/>
      <c r="N18" s="370"/>
      <c r="O18" s="370"/>
      <c r="P18" s="370"/>
    </row>
    <row r="19" spans="1:16" x14ac:dyDescent="0.25">
      <c r="A19" s="417" t="str">
        <f>"Net "&amp; A16</f>
        <v>Net Service charges - water revenue</v>
      </c>
      <c r="B19" s="293"/>
      <c r="C19" s="213">
        <f t="shared" ref="C19:L19" si="2">C17-C18</f>
        <v>213633343</v>
      </c>
      <c r="D19" s="213">
        <f t="shared" si="2"/>
        <v>270106949</v>
      </c>
      <c r="E19" s="214">
        <f t="shared" si="2"/>
        <v>288345314</v>
      </c>
      <c r="F19" s="215">
        <f t="shared" si="2"/>
        <v>317353656</v>
      </c>
      <c r="G19" s="213">
        <f t="shared" si="2"/>
        <v>339545266</v>
      </c>
      <c r="H19" s="214">
        <f t="shared" si="2"/>
        <v>339545266</v>
      </c>
      <c r="I19" s="212">
        <f t="shared" si="2"/>
        <v>339545266</v>
      </c>
      <c r="J19" s="216">
        <f t="shared" si="2"/>
        <v>373499792</v>
      </c>
      <c r="K19" s="213">
        <f t="shared" si="2"/>
        <v>410849771</v>
      </c>
      <c r="L19" s="214">
        <f t="shared" si="2"/>
        <v>451934749</v>
      </c>
      <c r="M19" s="370"/>
      <c r="N19" s="370"/>
      <c r="O19" s="370"/>
      <c r="P19" s="370"/>
    </row>
    <row r="20" spans="1:16" ht="4.5" customHeight="1" x14ac:dyDescent="0.25">
      <c r="A20" s="417"/>
      <c r="B20" s="293"/>
      <c r="C20" s="1180"/>
      <c r="D20" s="1180"/>
      <c r="E20" s="222"/>
      <c r="F20" s="595"/>
      <c r="G20" s="1180"/>
      <c r="H20" s="222"/>
      <c r="I20" s="241"/>
      <c r="J20" s="1181"/>
      <c r="K20" s="1180"/>
      <c r="L20" s="222"/>
      <c r="M20" s="370"/>
      <c r="N20" s="370"/>
      <c r="O20" s="370"/>
      <c r="P20" s="370"/>
    </row>
    <row r="21" spans="1:16" x14ac:dyDescent="0.25">
      <c r="A21" s="1182" t="str">
        <f>'A4-FinPerf RE'!A9</f>
        <v>Service charges - sanitation revenue</v>
      </c>
      <c r="B21" s="293"/>
      <c r="C21" s="1180"/>
      <c r="D21" s="1180"/>
      <c r="E21" s="222"/>
      <c r="F21" s="595"/>
      <c r="G21" s="1180"/>
      <c r="H21" s="222"/>
      <c r="I21" s="241"/>
      <c r="J21" s="1181"/>
      <c r="K21" s="1180"/>
      <c r="L21" s="222"/>
      <c r="M21" s="370"/>
      <c r="N21" s="370"/>
      <c r="O21" s="370"/>
      <c r="P21" s="370"/>
    </row>
    <row r="22" spans="1:16" ht="12" x14ac:dyDescent="0.35">
      <c r="A22" s="1280" t="str">
        <f>"Total "&amp;A21</f>
        <v>Total Service charges - sanitation revenue</v>
      </c>
      <c r="B22" s="293"/>
      <c r="C22" s="1680">
        <v>76207067</v>
      </c>
      <c r="D22" s="1680">
        <v>102592352</v>
      </c>
      <c r="E22" s="1681">
        <f>107506830+E23</f>
        <v>110385999</v>
      </c>
      <c r="F22" s="1683">
        <f>114000000+F23</f>
        <v>130566966</v>
      </c>
      <c r="G22" s="2605">
        <v>125263313</v>
      </c>
      <c r="H22" s="2605">
        <v>125263313</v>
      </c>
      <c r="I22" s="2605">
        <v>125263313</v>
      </c>
      <c r="J22" s="1680">
        <v>139810876</v>
      </c>
      <c r="K22" s="1681">
        <v>147500475</v>
      </c>
      <c r="L22" s="2605">
        <v>155613001</v>
      </c>
      <c r="M22" s="370"/>
      <c r="N22" s="370"/>
      <c r="O22" s="370"/>
      <c r="P22" s="370"/>
    </row>
    <row r="23" spans="1:16" x14ac:dyDescent="0.25">
      <c r="A23" s="1537" t="str">
        <f>$A$8</f>
        <v>less Revenue Foregone</v>
      </c>
      <c r="B23" s="293"/>
      <c r="C23" s="1676">
        <v>0</v>
      </c>
      <c r="D23" s="1676">
        <v>0</v>
      </c>
      <c r="E23" s="1677">
        <v>2879169</v>
      </c>
      <c r="F23" s="1679">
        <v>16566966</v>
      </c>
      <c r="G23" s="1676"/>
      <c r="H23" s="1676"/>
      <c r="I23" s="1676"/>
      <c r="J23" s="1676">
        <v>7658082</v>
      </c>
      <c r="K23" s="1677">
        <v>8079277</v>
      </c>
      <c r="L23" s="1677">
        <v>8523637</v>
      </c>
      <c r="M23" s="370"/>
      <c r="N23" s="370"/>
      <c r="O23" s="370"/>
      <c r="P23" s="370"/>
    </row>
    <row r="24" spans="1:16" x14ac:dyDescent="0.25">
      <c r="A24" s="417" t="str">
        <f>"Net "&amp; A21</f>
        <v>Net Service charges - sanitation revenue</v>
      </c>
      <c r="B24" s="293"/>
      <c r="C24" s="213">
        <f t="shared" ref="C24:L24" si="3">C22-C23</f>
        <v>76207067</v>
      </c>
      <c r="D24" s="213">
        <f t="shared" si="3"/>
        <v>102592352</v>
      </c>
      <c r="E24" s="214">
        <f t="shared" si="3"/>
        <v>107506830</v>
      </c>
      <c r="F24" s="215">
        <f t="shared" si="3"/>
        <v>114000000</v>
      </c>
      <c r="G24" s="213">
        <f t="shared" si="3"/>
        <v>125263313</v>
      </c>
      <c r="H24" s="214">
        <f t="shared" si="3"/>
        <v>125263313</v>
      </c>
      <c r="I24" s="212">
        <f t="shared" si="3"/>
        <v>125263313</v>
      </c>
      <c r="J24" s="216">
        <f t="shared" si="3"/>
        <v>132152794</v>
      </c>
      <c r="K24" s="213">
        <f t="shared" si="3"/>
        <v>139421198</v>
      </c>
      <c r="L24" s="214">
        <f t="shared" si="3"/>
        <v>147089364</v>
      </c>
      <c r="M24" s="370"/>
      <c r="N24" s="370"/>
      <c r="O24" s="370"/>
      <c r="P24" s="370"/>
    </row>
    <row r="25" spans="1:16" ht="4.5" customHeight="1" x14ac:dyDescent="0.25">
      <c r="A25" s="417"/>
      <c r="B25" s="293"/>
      <c r="C25" s="1180"/>
      <c r="D25" s="1180"/>
      <c r="E25" s="222"/>
      <c r="F25" s="595"/>
      <c r="G25" s="1180"/>
      <c r="H25" s="222"/>
      <c r="I25" s="241"/>
      <c r="J25" s="1181"/>
      <c r="K25" s="1180"/>
      <c r="L25" s="222"/>
      <c r="M25" s="370"/>
      <c r="N25" s="370"/>
      <c r="O25" s="370"/>
      <c r="P25" s="370"/>
    </row>
    <row r="26" spans="1:16" x14ac:dyDescent="0.25">
      <c r="A26" s="402" t="str">
        <f>'A4-FinPerf RE'!A10</f>
        <v>Service charges - refuse revenue</v>
      </c>
      <c r="B26" s="293">
        <v>6</v>
      </c>
      <c r="C26" s="403"/>
      <c r="D26" s="403"/>
      <c r="E26" s="195"/>
      <c r="F26" s="400"/>
      <c r="G26" s="403"/>
      <c r="H26" s="195"/>
      <c r="I26" s="309"/>
      <c r="J26" s="404"/>
      <c r="K26" s="403"/>
      <c r="L26" s="195"/>
      <c r="M26" s="370"/>
      <c r="N26" s="370"/>
      <c r="O26" s="370"/>
      <c r="P26" s="370"/>
    </row>
    <row r="27" spans="1:16" ht="11.25" customHeight="1" x14ac:dyDescent="0.35">
      <c r="A27" s="1280" t="s">
        <v>1556</v>
      </c>
      <c r="B27" s="293"/>
      <c r="C27" s="1614">
        <v>53287411</v>
      </c>
      <c r="D27" s="1614">
        <v>65558726</v>
      </c>
      <c r="E27" s="1634">
        <f>70091118+E29</f>
        <v>70076749</v>
      </c>
      <c r="F27" s="1635">
        <v>87271903</v>
      </c>
      <c r="G27" s="2605">
        <v>73546947</v>
      </c>
      <c r="H27" s="2605">
        <v>73546947</v>
      </c>
      <c r="I27" s="2605">
        <v>73546947</v>
      </c>
      <c r="J27" s="1614">
        <v>80205105</v>
      </c>
      <c r="K27" s="1634">
        <v>84616386</v>
      </c>
      <c r="L27" s="2605">
        <v>89270287</v>
      </c>
      <c r="M27" s="370"/>
      <c r="N27" s="370"/>
      <c r="O27" s="370"/>
      <c r="P27" s="370"/>
    </row>
    <row r="28" spans="1:16" ht="11.25" customHeight="1" x14ac:dyDescent="0.25">
      <c r="A28" s="1280" t="s">
        <v>1557</v>
      </c>
      <c r="B28" s="293"/>
      <c r="C28" s="1614"/>
      <c r="D28" s="1614"/>
      <c r="E28" s="1634"/>
      <c r="F28" s="1635"/>
      <c r="G28" s="1614"/>
      <c r="H28" s="1634"/>
      <c r="I28" s="1636"/>
      <c r="J28" s="1614"/>
      <c r="K28" s="1634"/>
      <c r="L28" s="1634"/>
      <c r="M28" s="370"/>
      <c r="N28" s="370"/>
      <c r="O28" s="370"/>
      <c r="P28" s="370"/>
    </row>
    <row r="29" spans="1:16" ht="11.25" customHeight="1" x14ac:dyDescent="0.25">
      <c r="A29" s="1537" t="str">
        <f>$A$8</f>
        <v>less Revenue Foregone</v>
      </c>
      <c r="B29" s="293"/>
      <c r="C29" s="1614">
        <v>0</v>
      </c>
      <c r="D29" s="1614">
        <v>0</v>
      </c>
      <c r="E29" s="1634">
        <v>-14369</v>
      </c>
      <c r="F29" s="1635">
        <v>8519701</v>
      </c>
      <c r="G29" s="1614"/>
      <c r="H29" s="1634"/>
      <c r="I29" s="1636"/>
      <c r="J29" s="1614">
        <v>2613076</v>
      </c>
      <c r="K29" s="1634">
        <v>2756795</v>
      </c>
      <c r="L29" s="1634">
        <v>2908419</v>
      </c>
      <c r="M29" s="370"/>
      <c r="N29" s="370"/>
      <c r="O29" s="370"/>
      <c r="P29" s="370"/>
    </row>
    <row r="30" spans="1:16" x14ac:dyDescent="0.25">
      <c r="A30" s="417" t="str">
        <f>"Net "&amp; A26</f>
        <v>Net Service charges - refuse revenue</v>
      </c>
      <c r="B30" s="293"/>
      <c r="C30" s="213">
        <f>SUM(C27:C28)-C29</f>
        <v>53287411</v>
      </c>
      <c r="D30" s="213">
        <f t="shared" ref="D30:L30" si="4">SUM(D27:D28)-D29</f>
        <v>65558726</v>
      </c>
      <c r="E30" s="214">
        <f t="shared" si="4"/>
        <v>70091118</v>
      </c>
      <c r="F30" s="215">
        <f t="shared" si="4"/>
        <v>78752202</v>
      </c>
      <c r="G30" s="213">
        <f t="shared" si="4"/>
        <v>73546947</v>
      </c>
      <c r="H30" s="214">
        <f t="shared" si="4"/>
        <v>73546947</v>
      </c>
      <c r="I30" s="212">
        <f t="shared" si="4"/>
        <v>73546947</v>
      </c>
      <c r="J30" s="216">
        <f t="shared" si="4"/>
        <v>77592029</v>
      </c>
      <c r="K30" s="213">
        <f t="shared" si="4"/>
        <v>81859591</v>
      </c>
      <c r="L30" s="214">
        <f t="shared" si="4"/>
        <v>86361868</v>
      </c>
      <c r="M30" s="370"/>
      <c r="N30" s="370"/>
      <c r="O30" s="370"/>
      <c r="P30" s="370"/>
    </row>
    <row r="31" spans="1:16" ht="5.15" customHeight="1" x14ac:dyDescent="0.25">
      <c r="A31" s="405"/>
      <c r="B31" s="293"/>
      <c r="C31" s="203"/>
      <c r="D31" s="203"/>
      <c r="E31" s="204"/>
      <c r="F31" s="205"/>
      <c r="G31" s="203"/>
      <c r="H31" s="204"/>
      <c r="I31" s="202"/>
      <c r="J31" s="206"/>
      <c r="K31" s="203"/>
      <c r="L31" s="204"/>
      <c r="M31" s="370"/>
      <c r="N31" s="370"/>
      <c r="O31" s="370"/>
      <c r="P31" s="370"/>
    </row>
    <row r="32" spans="1:16" ht="11.25" customHeight="1" x14ac:dyDescent="0.25">
      <c r="A32" s="402" t="s">
        <v>374</v>
      </c>
      <c r="B32" s="293"/>
      <c r="C32" s="315"/>
      <c r="D32" s="315"/>
      <c r="E32" s="318"/>
      <c r="F32" s="317"/>
      <c r="G32" s="315"/>
      <c r="H32" s="318"/>
      <c r="I32" s="316"/>
      <c r="J32" s="406"/>
      <c r="K32" s="315"/>
      <c r="L32" s="318"/>
      <c r="M32" s="370"/>
      <c r="N32" s="370"/>
      <c r="O32" s="370"/>
      <c r="P32" s="370"/>
    </row>
    <row r="33" spans="1:16" ht="11.25" customHeight="1" x14ac:dyDescent="0.25">
      <c r="A33" s="1684" t="s">
        <v>2366</v>
      </c>
      <c r="B33" s="293"/>
      <c r="C33" s="1614"/>
      <c r="D33" s="1614"/>
      <c r="E33" s="1634">
        <v>3460651</v>
      </c>
      <c r="F33" s="1635"/>
      <c r="G33" s="1614"/>
      <c r="H33" s="1634"/>
      <c r="I33" s="1636"/>
      <c r="J33" s="1614">
        <v>3387333</v>
      </c>
      <c r="K33" s="1614">
        <v>3387333</v>
      </c>
      <c r="L33" s="1614">
        <v>3387333</v>
      </c>
      <c r="M33" s="370"/>
      <c r="N33" s="370"/>
      <c r="O33" s="370"/>
      <c r="P33" s="370"/>
    </row>
    <row r="34" spans="1:16" ht="11.25" customHeight="1" x14ac:dyDescent="0.25">
      <c r="A34" s="1684" t="s">
        <v>96</v>
      </c>
      <c r="B34" s="293"/>
      <c r="C34" s="1614"/>
      <c r="D34" s="1614"/>
      <c r="E34" s="1634">
        <v>12870697</v>
      </c>
      <c r="F34" s="1635"/>
      <c r="G34" s="1614"/>
      <c r="H34" s="1634"/>
      <c r="I34" s="1636"/>
      <c r="J34" s="1614">
        <v>0</v>
      </c>
      <c r="K34" s="1634">
        <v>0</v>
      </c>
      <c r="L34" s="1634">
        <v>0</v>
      </c>
      <c r="M34" s="370"/>
      <c r="N34" s="370"/>
      <c r="O34" s="370"/>
      <c r="P34" s="370"/>
    </row>
    <row r="35" spans="1:16" ht="11.25" customHeight="1" x14ac:dyDescent="0.25">
      <c r="A35" s="1684" t="s">
        <v>161</v>
      </c>
      <c r="B35" s="293"/>
      <c r="C35" s="1614"/>
      <c r="D35" s="1614"/>
      <c r="E35" s="1634">
        <v>17174918</v>
      </c>
      <c r="F35" s="1635"/>
      <c r="G35" s="1614"/>
      <c r="H35" s="1634"/>
      <c r="I35" s="1636"/>
      <c r="J35" s="1614">
        <v>17982126</v>
      </c>
      <c r="K35" s="1634">
        <v>18881230</v>
      </c>
      <c r="L35" s="1634">
        <v>17840540</v>
      </c>
      <c r="M35" s="370"/>
      <c r="N35" s="370"/>
      <c r="O35" s="370"/>
      <c r="P35" s="370"/>
    </row>
    <row r="36" spans="1:16" ht="11.25" customHeight="1" x14ac:dyDescent="0.25">
      <c r="A36" s="1633" t="s">
        <v>2368</v>
      </c>
      <c r="B36" s="293"/>
      <c r="C36" s="1614"/>
      <c r="D36" s="1614"/>
      <c r="E36" s="1634">
        <v>1258041</v>
      </c>
      <c r="F36" s="1635"/>
      <c r="G36" s="1614"/>
      <c r="H36" s="1634"/>
      <c r="I36" s="1636"/>
      <c r="J36" s="1614">
        <v>1124802</v>
      </c>
      <c r="K36" s="1634">
        <v>1179917</v>
      </c>
      <c r="L36" s="1634">
        <v>1244813</v>
      </c>
      <c r="M36" s="370"/>
      <c r="N36" s="370"/>
      <c r="O36" s="370"/>
      <c r="P36" s="370"/>
    </row>
    <row r="37" spans="1:16" ht="11.25" customHeight="1" x14ac:dyDescent="0.25">
      <c r="A37" s="1633" t="s">
        <v>1253</v>
      </c>
      <c r="B37" s="293"/>
      <c r="C37" s="1614"/>
      <c r="D37" s="1614"/>
      <c r="E37" s="1634">
        <v>1953416</v>
      </c>
      <c r="F37" s="1635"/>
      <c r="G37" s="1614"/>
      <c r="H37" s="1634"/>
      <c r="I37" s="1636"/>
      <c r="J37" s="1614">
        <v>1606076</v>
      </c>
      <c r="K37" s="1634">
        <v>1694410</v>
      </c>
      <c r="L37" s="1634">
        <v>1787603</v>
      </c>
      <c r="M37" s="370"/>
      <c r="N37" s="370"/>
      <c r="O37" s="370"/>
      <c r="P37" s="370"/>
    </row>
    <row r="38" spans="1:16" ht="11.25" customHeight="1" x14ac:dyDescent="0.25">
      <c r="A38" s="1633" t="s">
        <v>2288</v>
      </c>
      <c r="B38" s="293"/>
      <c r="C38" s="1614"/>
      <c r="D38" s="1614"/>
      <c r="E38" s="1634">
        <v>12601583</v>
      </c>
      <c r="F38" s="1635"/>
      <c r="G38" s="1614"/>
      <c r="H38" s="1634"/>
      <c r="I38" s="1636"/>
      <c r="J38" s="1614">
        <v>11060550</v>
      </c>
      <c r="K38" s="1634">
        <v>11578218</v>
      </c>
      <c r="L38" s="1634">
        <v>12215020</v>
      </c>
      <c r="M38" s="370"/>
      <c r="N38" s="370"/>
      <c r="O38" s="370"/>
      <c r="P38" s="370"/>
    </row>
    <row r="39" spans="1:16" ht="11.25" customHeight="1" x14ac:dyDescent="0.25">
      <c r="A39" s="1633" t="s">
        <v>2367</v>
      </c>
      <c r="B39" s="293"/>
      <c r="C39" s="1614"/>
      <c r="D39" s="1614"/>
      <c r="E39" s="1634">
        <v>3146805</v>
      </c>
      <c r="F39" s="1635"/>
      <c r="G39" s="1614"/>
      <c r="H39" s="1634"/>
      <c r="I39" s="1636"/>
      <c r="J39" s="1614">
        <v>3500000</v>
      </c>
      <c r="K39" s="1634">
        <v>3692500</v>
      </c>
      <c r="L39" s="1634">
        <v>3895588</v>
      </c>
      <c r="M39" s="370"/>
      <c r="N39" s="370"/>
      <c r="O39" s="370"/>
      <c r="P39" s="370"/>
    </row>
    <row r="40" spans="1:16" ht="11.25" customHeight="1" x14ac:dyDescent="0.25">
      <c r="A40" s="1633" t="s">
        <v>2289</v>
      </c>
      <c r="B40" s="293"/>
      <c r="C40" s="1614"/>
      <c r="D40" s="1614"/>
      <c r="E40" s="1634">
        <v>1553358</v>
      </c>
      <c r="F40" s="1635"/>
      <c r="G40" s="1614"/>
      <c r="H40" s="1634"/>
      <c r="I40" s="1636"/>
      <c r="J40" s="1614">
        <v>0</v>
      </c>
      <c r="K40" s="1634">
        <v>0</v>
      </c>
      <c r="L40" s="1634">
        <v>0</v>
      </c>
      <c r="M40" s="370"/>
      <c r="N40" s="370"/>
      <c r="O40" s="370"/>
      <c r="P40" s="370"/>
    </row>
    <row r="41" spans="1:16" ht="11.25" customHeight="1" x14ac:dyDescent="0.25">
      <c r="A41" s="1633" t="s">
        <v>2290</v>
      </c>
      <c r="B41" s="293"/>
      <c r="C41" s="1614"/>
      <c r="D41" s="1614"/>
      <c r="E41" s="1634">
        <v>884238.39</v>
      </c>
      <c r="F41" s="1635"/>
      <c r="G41" s="1614"/>
      <c r="H41" s="1634"/>
      <c r="I41" s="1636"/>
      <c r="J41" s="1614">
        <v>0</v>
      </c>
      <c r="K41" s="1634">
        <v>0</v>
      </c>
      <c r="L41" s="1634">
        <v>0</v>
      </c>
      <c r="M41" s="370"/>
      <c r="N41" s="370"/>
      <c r="O41" s="370"/>
      <c r="P41" s="370"/>
    </row>
    <row r="42" spans="1:16" ht="11.25" customHeight="1" x14ac:dyDescent="0.25">
      <c r="A42" s="1633" t="s">
        <v>2291</v>
      </c>
      <c r="B42" s="293"/>
      <c r="C42" s="1614"/>
      <c r="D42" s="1614"/>
      <c r="E42" s="1634">
        <v>571204</v>
      </c>
      <c r="F42" s="1635"/>
      <c r="G42" s="1614"/>
      <c r="H42" s="1634"/>
      <c r="I42" s="1636"/>
      <c r="J42" s="1614">
        <v>0</v>
      </c>
      <c r="K42" s="1634">
        <v>0</v>
      </c>
      <c r="L42" s="1634">
        <v>0</v>
      </c>
      <c r="M42" s="370"/>
      <c r="N42" s="370"/>
      <c r="O42" s="370"/>
      <c r="P42" s="370"/>
    </row>
    <row r="43" spans="1:16" ht="11.25" customHeight="1" x14ac:dyDescent="0.35">
      <c r="A43" s="1633" t="s">
        <v>2292</v>
      </c>
      <c r="B43" s="293"/>
      <c r="C43" s="1614">
        <v>568994200</v>
      </c>
      <c r="D43" s="1614">
        <v>516979847</v>
      </c>
      <c r="E43" s="1634">
        <f>14183451-E41-E40-1853000</f>
        <v>9892854.6099999994</v>
      </c>
      <c r="F43" s="1618">
        <v>49784828.712799996</v>
      </c>
      <c r="G43" s="1053">
        <v>88689000</v>
      </c>
      <c r="H43" s="1053">
        <f>G43</f>
        <v>88689000</v>
      </c>
      <c r="I43" s="1053">
        <f>88689000</f>
        <v>88689000</v>
      </c>
      <c r="J43" s="1614">
        <v>1207</v>
      </c>
      <c r="K43" s="1634">
        <v>1207</v>
      </c>
      <c r="L43" s="2605">
        <v>1207</v>
      </c>
      <c r="M43" s="370"/>
      <c r="N43" s="370"/>
      <c r="O43" s="370"/>
      <c r="P43" s="370"/>
    </row>
    <row r="44" spans="1:16" ht="11.25" customHeight="1" x14ac:dyDescent="0.25">
      <c r="A44" s="1633" t="s">
        <v>2420</v>
      </c>
      <c r="B44" s="293">
        <v>3</v>
      </c>
      <c r="C44" s="1614"/>
      <c r="D44" s="1614"/>
      <c r="E44" s="1634">
        <v>0</v>
      </c>
      <c r="F44" s="1635"/>
      <c r="G44" s="1614"/>
      <c r="H44" s="1634"/>
      <c r="I44" s="1636"/>
      <c r="J44" s="1614">
        <v>9349103</v>
      </c>
      <c r="K44" s="1634">
        <v>8807653</v>
      </c>
      <c r="L44" s="1634">
        <v>8452895</v>
      </c>
      <c r="M44" s="370"/>
      <c r="N44" s="370"/>
      <c r="O44" s="370"/>
      <c r="P44" s="370"/>
    </row>
    <row r="45" spans="1:16" ht="11.25" customHeight="1" x14ac:dyDescent="0.25">
      <c r="A45" s="417" t="s">
        <v>1206</v>
      </c>
      <c r="B45" s="293">
        <v>1</v>
      </c>
      <c r="C45" s="213">
        <f>SUM(C33:C44)</f>
        <v>568994200</v>
      </c>
      <c r="D45" s="213">
        <f t="shared" ref="D45:L45" si="5">SUM(D33:D44)</f>
        <v>516979847</v>
      </c>
      <c r="E45" s="214">
        <f t="shared" si="5"/>
        <v>65367766</v>
      </c>
      <c r="F45" s="215">
        <f t="shared" si="5"/>
        <v>49784828.712799996</v>
      </c>
      <c r="G45" s="213">
        <f t="shared" si="5"/>
        <v>88689000</v>
      </c>
      <c r="H45" s="214">
        <f t="shared" si="5"/>
        <v>88689000</v>
      </c>
      <c r="I45" s="212">
        <f t="shared" si="5"/>
        <v>88689000</v>
      </c>
      <c r="J45" s="216">
        <f t="shared" si="5"/>
        <v>48011197</v>
      </c>
      <c r="K45" s="213">
        <f t="shared" si="5"/>
        <v>49222468</v>
      </c>
      <c r="L45" s="214">
        <f t="shared" si="5"/>
        <v>48824999</v>
      </c>
      <c r="M45" s="370"/>
      <c r="N45" s="370"/>
      <c r="O45" s="370"/>
      <c r="P45" s="370"/>
    </row>
    <row r="46" spans="1:16" ht="5.15" customHeight="1" x14ac:dyDescent="0.25">
      <c r="A46" s="201"/>
      <c r="B46" s="293"/>
      <c r="C46" s="203"/>
      <c r="D46" s="203"/>
      <c r="E46" s="204"/>
      <c r="F46" s="205"/>
      <c r="G46" s="203"/>
      <c r="H46" s="204"/>
      <c r="I46" s="202"/>
      <c r="J46" s="206"/>
      <c r="K46" s="203"/>
      <c r="L46" s="204"/>
      <c r="M46" s="370"/>
      <c r="N46" s="370"/>
      <c r="O46" s="370"/>
      <c r="P46" s="370"/>
    </row>
    <row r="47" spans="1:16" ht="15.75" customHeight="1" x14ac:dyDescent="0.25">
      <c r="A47" s="407" t="s">
        <v>538</v>
      </c>
      <c r="B47" s="408"/>
      <c r="C47" s="409"/>
      <c r="D47" s="409"/>
      <c r="E47" s="410"/>
      <c r="F47" s="411"/>
      <c r="G47" s="409"/>
      <c r="H47" s="410"/>
      <c r="I47" s="412"/>
      <c r="J47" s="413"/>
      <c r="K47" s="409"/>
      <c r="L47" s="410"/>
      <c r="M47" s="370"/>
      <c r="N47" s="370"/>
      <c r="O47" s="370"/>
      <c r="P47" s="370"/>
    </row>
    <row r="48" spans="1:16" ht="11.25" customHeight="1" x14ac:dyDescent="0.25">
      <c r="A48" s="181" t="str">
        <f>'A4-FinPerf RE'!A25</f>
        <v>Employee related costs</v>
      </c>
      <c r="B48" s="293"/>
      <c r="C48" s="203"/>
      <c r="D48" s="203"/>
      <c r="E48" s="204"/>
      <c r="F48" s="205"/>
      <c r="G48" s="203"/>
      <c r="H48" s="204"/>
      <c r="I48" s="202"/>
      <c r="J48" s="206"/>
      <c r="K48" s="203"/>
      <c r="L48" s="204"/>
      <c r="M48" s="370"/>
      <c r="N48" s="370"/>
      <c r="O48" s="370"/>
      <c r="P48" s="370"/>
    </row>
    <row r="49" spans="1:16" ht="11.25" customHeight="1" x14ac:dyDescent="0.25">
      <c r="A49" s="190" t="s">
        <v>1301</v>
      </c>
      <c r="B49" s="294">
        <v>2</v>
      </c>
      <c r="C49" s="1614">
        <v>436547965</v>
      </c>
      <c r="D49" s="1614">
        <v>451112718</v>
      </c>
      <c r="E49" s="1634">
        <v>456795688</v>
      </c>
      <c r="F49" s="1635">
        <v>520375584.10119998</v>
      </c>
      <c r="G49" s="1053">
        <v>507969000</v>
      </c>
      <c r="H49" s="1053">
        <v>507969000</v>
      </c>
      <c r="I49" s="1053">
        <v>507969000</v>
      </c>
      <c r="J49" s="1614">
        <f>534425134</f>
        <v>534425134</v>
      </c>
      <c r="K49" s="1634">
        <v>568453170</v>
      </c>
      <c r="L49" s="1634">
        <v>604658259</v>
      </c>
      <c r="M49" s="370"/>
      <c r="N49" s="370"/>
      <c r="O49" s="370"/>
      <c r="P49" s="370"/>
    </row>
    <row r="50" spans="1:16" ht="11.25" customHeight="1" x14ac:dyDescent="0.25">
      <c r="A50" s="190" t="s">
        <v>2054</v>
      </c>
      <c r="B50" s="293"/>
      <c r="C50" s="1614"/>
      <c r="D50" s="1614"/>
      <c r="E50" s="1634">
        <v>86399202</v>
      </c>
      <c r="F50" s="1635">
        <v>91265699.03743495</v>
      </c>
      <c r="G50" s="1053">
        <v>101066000</v>
      </c>
      <c r="H50" s="1053">
        <v>101066000</v>
      </c>
      <c r="I50" s="1053">
        <v>101066000</v>
      </c>
      <c r="J50" s="1614">
        <v>143724138</v>
      </c>
      <c r="K50" s="1634">
        <v>153066207</v>
      </c>
      <c r="L50" s="1634">
        <v>163015511</v>
      </c>
      <c r="M50" s="370"/>
      <c r="N50" s="370"/>
      <c r="O50" s="370"/>
      <c r="P50" s="370"/>
    </row>
    <row r="51" spans="1:16" ht="11.25" customHeight="1" x14ac:dyDescent="0.25">
      <c r="A51" s="190" t="s">
        <v>763</v>
      </c>
      <c r="B51" s="293"/>
      <c r="C51" s="1614"/>
      <c r="D51" s="1614"/>
      <c r="E51" s="1634">
        <v>32577377</v>
      </c>
      <c r="F51" s="1635">
        <v>32720112.627764992</v>
      </c>
      <c r="G51" s="1053">
        <v>32865000</v>
      </c>
      <c r="H51" s="1053">
        <v>32865000</v>
      </c>
      <c r="I51" s="1053">
        <v>32865000</v>
      </c>
      <c r="J51" s="1614">
        <v>0</v>
      </c>
      <c r="K51" s="1634">
        <v>0</v>
      </c>
      <c r="L51" s="1634">
        <v>0</v>
      </c>
      <c r="M51" s="370"/>
      <c r="N51" s="370"/>
      <c r="O51" s="370"/>
      <c r="P51" s="370"/>
    </row>
    <row r="52" spans="1:16" ht="11.25" customHeight="1" x14ac:dyDescent="0.25">
      <c r="A52" s="190" t="s">
        <v>1089</v>
      </c>
      <c r="B52" s="293"/>
      <c r="C52" s="1614">
        <v>45438122</v>
      </c>
      <c r="D52" s="1614">
        <v>24922468</v>
      </c>
      <c r="E52" s="1634">
        <v>27336905</v>
      </c>
      <c r="F52" s="1635">
        <v>19375376.246117998</v>
      </c>
      <c r="G52" s="1053">
        <v>26671000</v>
      </c>
      <c r="H52" s="1053">
        <v>26671000</v>
      </c>
      <c r="I52" s="1053">
        <v>26671000</v>
      </c>
      <c r="J52" s="1614">
        <v>27526966</v>
      </c>
      <c r="K52" s="1634">
        <v>28901559</v>
      </c>
      <c r="L52" s="1634">
        <v>30346637</v>
      </c>
      <c r="M52" s="370"/>
      <c r="N52" s="370"/>
      <c r="O52" s="370"/>
      <c r="P52" s="370"/>
    </row>
    <row r="53" spans="1:16" ht="11.25" customHeight="1" x14ac:dyDescent="0.25">
      <c r="A53" s="190" t="s">
        <v>765</v>
      </c>
      <c r="B53" s="293"/>
      <c r="C53" s="1614"/>
      <c r="D53" s="1614"/>
      <c r="E53" s="1634"/>
      <c r="F53" s="1635"/>
      <c r="G53" s="1053">
        <v>0</v>
      </c>
      <c r="H53" s="1053">
        <v>0</v>
      </c>
      <c r="I53" s="1053">
        <v>0</v>
      </c>
      <c r="J53" s="1614"/>
      <c r="K53" s="1634"/>
      <c r="L53" s="1634">
        <v>0</v>
      </c>
      <c r="M53" s="370"/>
      <c r="N53" s="370"/>
      <c r="O53" s="370"/>
      <c r="P53" s="370"/>
    </row>
    <row r="54" spans="1:16" ht="11.25" customHeight="1" x14ac:dyDescent="0.25">
      <c r="A54" s="190" t="s">
        <v>2209</v>
      </c>
      <c r="B54" s="293"/>
      <c r="C54" s="1614">
        <v>20754308</v>
      </c>
      <c r="D54" s="1614">
        <v>24162356</v>
      </c>
      <c r="E54" s="1634">
        <v>32352063</v>
      </c>
      <c r="F54" s="1635">
        <v>14189306.1116</v>
      </c>
      <c r="G54" s="1053">
        <v>25113000</v>
      </c>
      <c r="H54" s="1053">
        <v>25113000</v>
      </c>
      <c r="I54" s="1053">
        <v>25113000</v>
      </c>
      <c r="J54" s="1614">
        <v>34085234</v>
      </c>
      <c r="K54" s="1634">
        <v>35943797</v>
      </c>
      <c r="L54" s="1634">
        <v>28571258</v>
      </c>
      <c r="M54" s="370"/>
      <c r="N54" s="370"/>
      <c r="O54" s="370"/>
      <c r="P54" s="370"/>
    </row>
    <row r="55" spans="1:16" ht="11.25" customHeight="1" x14ac:dyDescent="0.25">
      <c r="A55" s="190" t="s">
        <v>2055</v>
      </c>
      <c r="B55" s="293"/>
      <c r="C55" s="1614"/>
      <c r="D55" s="1614"/>
      <c r="E55" s="1634"/>
      <c r="F55" s="1635"/>
      <c r="G55" s="1053">
        <v>0</v>
      </c>
      <c r="H55" s="1053">
        <v>0</v>
      </c>
      <c r="I55" s="1053">
        <v>0</v>
      </c>
      <c r="J55" s="1614"/>
      <c r="K55" s="1634"/>
      <c r="L55" s="1634"/>
      <c r="M55" s="370"/>
      <c r="N55" s="370"/>
      <c r="O55" s="370"/>
      <c r="P55" s="370"/>
    </row>
    <row r="56" spans="1:16" ht="11.25" customHeight="1" x14ac:dyDescent="0.25">
      <c r="A56" s="190" t="s">
        <v>2210</v>
      </c>
      <c r="B56" s="293"/>
      <c r="C56" s="1614">
        <v>5170764</v>
      </c>
      <c r="D56" s="1614">
        <v>3647637</v>
      </c>
      <c r="E56" s="1634">
        <v>3754274</v>
      </c>
      <c r="F56" s="1635">
        <v>3972108</v>
      </c>
      <c r="G56" s="1053">
        <v>3487000</v>
      </c>
      <c r="H56" s="1053">
        <v>3487000</v>
      </c>
      <c r="I56" s="1053">
        <v>3487000</v>
      </c>
      <c r="J56" s="1614">
        <v>3713276</v>
      </c>
      <c r="K56" s="1634">
        <v>3954639</v>
      </c>
      <c r="L56" s="1634">
        <v>4211691</v>
      </c>
      <c r="M56" s="370"/>
      <c r="N56" s="370"/>
      <c r="O56" s="370"/>
      <c r="P56" s="370"/>
    </row>
    <row r="57" spans="1:16" ht="11.25" customHeight="1" x14ac:dyDescent="0.25">
      <c r="A57" s="190" t="s">
        <v>1527</v>
      </c>
      <c r="B57" s="293"/>
      <c r="C57" s="1614">
        <v>107142026</v>
      </c>
      <c r="D57" s="1614">
        <v>116731241</v>
      </c>
      <c r="E57" s="1634">
        <v>10737569</v>
      </c>
      <c r="F57" s="1635">
        <v>14747324</v>
      </c>
      <c r="G57" s="1053">
        <v>17541000</v>
      </c>
      <c r="H57" s="1053">
        <v>17541000</v>
      </c>
      <c r="I57" s="1053">
        <v>17541000</v>
      </c>
      <c r="J57" s="1614">
        <v>8784526</v>
      </c>
      <c r="K57" s="1634">
        <v>9354627</v>
      </c>
      <c r="L57" s="1634">
        <v>9931418</v>
      </c>
      <c r="M57" s="370"/>
      <c r="N57" s="370"/>
      <c r="O57" s="370"/>
      <c r="P57" s="370"/>
    </row>
    <row r="58" spans="1:16" ht="11.25" customHeight="1" x14ac:dyDescent="0.25">
      <c r="A58" s="190" t="s">
        <v>1657</v>
      </c>
      <c r="B58" s="293"/>
      <c r="C58" s="1614"/>
      <c r="D58" s="1614"/>
      <c r="E58" s="1634"/>
      <c r="F58" s="1635"/>
      <c r="G58" s="1053">
        <v>0</v>
      </c>
      <c r="H58" s="1053">
        <v>0</v>
      </c>
      <c r="I58" s="1053">
        <v>0</v>
      </c>
      <c r="J58" s="1614"/>
      <c r="K58" s="1634"/>
      <c r="L58" s="1634"/>
      <c r="M58" s="370"/>
      <c r="N58" s="370"/>
      <c r="O58" s="370"/>
      <c r="P58" s="370"/>
    </row>
    <row r="59" spans="1:16" ht="11.25" customHeight="1" x14ac:dyDescent="0.25">
      <c r="A59" s="190" t="s">
        <v>1090</v>
      </c>
      <c r="B59" s="293"/>
      <c r="C59" s="1614">
        <v>13979025</v>
      </c>
      <c r="D59" s="1614">
        <v>15796260</v>
      </c>
      <c r="E59" s="1634">
        <v>16244652</v>
      </c>
      <c r="F59" s="1635">
        <v>16769804</v>
      </c>
      <c r="G59" s="1053">
        <v>17216000</v>
      </c>
      <c r="H59" s="1053">
        <v>17216000</v>
      </c>
      <c r="I59" s="1053">
        <v>17216000</v>
      </c>
      <c r="J59" s="1614">
        <v>18360333</v>
      </c>
      <c r="K59" s="1634">
        <v>19553754</v>
      </c>
      <c r="L59" s="1634">
        <v>20824748</v>
      </c>
      <c r="M59" s="370"/>
      <c r="N59" s="370"/>
      <c r="O59" s="370"/>
      <c r="P59" s="370"/>
    </row>
    <row r="60" spans="1:16" ht="11.25" customHeight="1" x14ac:dyDescent="0.25">
      <c r="A60" s="190" t="s">
        <v>1658</v>
      </c>
      <c r="B60" s="293">
        <v>4</v>
      </c>
      <c r="C60" s="1614"/>
      <c r="D60" s="1614"/>
      <c r="E60" s="1634"/>
      <c r="F60" s="1635"/>
      <c r="G60" s="1656"/>
      <c r="H60" s="1656"/>
      <c r="I60" s="1656"/>
      <c r="J60" s="1614"/>
      <c r="K60" s="1634"/>
      <c r="L60" s="1634"/>
      <c r="M60" s="370"/>
      <c r="N60" s="370"/>
      <c r="O60" s="370"/>
      <c r="P60" s="370"/>
    </row>
    <row r="61" spans="1:16" ht="11.25" customHeight="1" x14ac:dyDescent="0.25">
      <c r="A61" s="414" t="s">
        <v>139</v>
      </c>
      <c r="B61" s="293">
        <v>5</v>
      </c>
      <c r="C61" s="267">
        <f>SUM(C49:C60)</f>
        <v>629032210</v>
      </c>
      <c r="D61" s="267">
        <f t="shared" ref="D61:L61" si="6">SUM(D49:D60)</f>
        <v>636372680</v>
      </c>
      <c r="E61" s="268">
        <f t="shared" si="6"/>
        <v>666197730</v>
      </c>
      <c r="F61" s="269">
        <f t="shared" si="6"/>
        <v>713415314.12411785</v>
      </c>
      <c r="G61" s="267">
        <f t="shared" si="6"/>
        <v>731928000</v>
      </c>
      <c r="H61" s="268">
        <f t="shared" si="6"/>
        <v>731928000</v>
      </c>
      <c r="I61" s="266">
        <f t="shared" si="6"/>
        <v>731928000</v>
      </c>
      <c r="J61" s="270">
        <f t="shared" si="6"/>
        <v>770619607</v>
      </c>
      <c r="K61" s="267">
        <f t="shared" si="6"/>
        <v>819227753</v>
      </c>
      <c r="L61" s="268">
        <f t="shared" si="6"/>
        <v>861559522</v>
      </c>
      <c r="M61" s="370"/>
      <c r="N61" s="370"/>
      <c r="O61" s="370"/>
      <c r="P61" s="370"/>
    </row>
    <row r="62" spans="1:16" ht="11.25" customHeight="1" x14ac:dyDescent="0.25">
      <c r="A62" s="415" t="s">
        <v>497</v>
      </c>
      <c r="B62" s="293"/>
      <c r="C62" s="1614"/>
      <c r="D62" s="1614"/>
      <c r="E62" s="1634"/>
      <c r="F62" s="1635"/>
      <c r="G62" s="1614"/>
      <c r="H62" s="1634"/>
      <c r="I62" s="1636"/>
      <c r="J62" s="1616"/>
      <c r="K62" s="1614"/>
      <c r="L62" s="1634"/>
      <c r="M62" s="370"/>
      <c r="N62" s="370"/>
      <c r="O62" s="370"/>
      <c r="P62" s="370"/>
    </row>
    <row r="63" spans="1:16" ht="11.25" customHeight="1" x14ac:dyDescent="0.25">
      <c r="A63" s="326" t="str">
        <f>"Total "&amp;A48</f>
        <v>Total Employee related costs</v>
      </c>
      <c r="B63" s="293">
        <v>1</v>
      </c>
      <c r="C63" s="267">
        <f>C61-C62</f>
        <v>629032210</v>
      </c>
      <c r="D63" s="267">
        <f t="shared" ref="D63:L63" si="7">D61-D62</f>
        <v>636372680</v>
      </c>
      <c r="E63" s="268">
        <f t="shared" si="7"/>
        <v>666197730</v>
      </c>
      <c r="F63" s="269">
        <f t="shared" si="7"/>
        <v>713415314.12411785</v>
      </c>
      <c r="G63" s="267">
        <f t="shared" si="7"/>
        <v>731928000</v>
      </c>
      <c r="H63" s="268">
        <f t="shared" si="7"/>
        <v>731928000</v>
      </c>
      <c r="I63" s="266">
        <f t="shared" si="7"/>
        <v>731928000</v>
      </c>
      <c r="J63" s="270">
        <f t="shared" si="7"/>
        <v>770619607</v>
      </c>
      <c r="K63" s="267">
        <f t="shared" si="7"/>
        <v>819227753</v>
      </c>
      <c r="L63" s="268">
        <f t="shared" si="7"/>
        <v>861559522</v>
      </c>
      <c r="M63" s="370"/>
      <c r="N63" s="370"/>
      <c r="O63" s="370"/>
      <c r="P63" s="370"/>
    </row>
    <row r="64" spans="1:16" ht="5.15" customHeight="1" x14ac:dyDescent="0.25">
      <c r="A64" s="201"/>
      <c r="B64" s="293"/>
      <c r="C64" s="203"/>
      <c r="D64" s="203"/>
      <c r="E64" s="204"/>
      <c r="F64" s="205"/>
      <c r="G64" s="203"/>
      <c r="H64" s="204"/>
      <c r="I64" s="202"/>
      <c r="J64" s="206"/>
      <c r="K64" s="203"/>
      <c r="L64" s="204"/>
      <c r="M64" s="370"/>
      <c r="N64" s="370"/>
      <c r="O64" s="370"/>
      <c r="P64" s="370"/>
    </row>
    <row r="65" spans="1:16" ht="11.25" customHeight="1" x14ac:dyDescent="0.25">
      <c r="A65" s="181" t="s">
        <v>817</v>
      </c>
      <c r="B65" s="293"/>
      <c r="C65" s="1290"/>
      <c r="D65" s="1290"/>
      <c r="E65" s="1330"/>
      <c r="F65" s="1331"/>
      <c r="G65" s="1290"/>
      <c r="H65" s="1330"/>
      <c r="I65" s="1332"/>
      <c r="J65" s="1291"/>
      <c r="K65" s="1290"/>
      <c r="L65" s="1330"/>
      <c r="M65" s="370"/>
      <c r="N65" s="370"/>
      <c r="O65" s="370"/>
      <c r="P65" s="370"/>
    </row>
    <row r="66" spans="1:16" ht="11.25" customHeight="1" x14ac:dyDescent="0.25">
      <c r="A66" s="1684" t="s">
        <v>818</v>
      </c>
      <c r="B66" s="293"/>
      <c r="C66" s="1614"/>
      <c r="D66" s="1614"/>
      <c r="E66" s="1634"/>
      <c r="F66" s="1635"/>
      <c r="G66" s="1614"/>
      <c r="H66" s="1634"/>
      <c r="I66" s="1636"/>
      <c r="J66" s="1616"/>
      <c r="K66" s="1614"/>
      <c r="L66" s="1634"/>
      <c r="M66" s="370"/>
      <c r="N66" s="370"/>
      <c r="O66" s="370"/>
      <c r="P66" s="370"/>
    </row>
    <row r="67" spans="1:16" ht="11.25" customHeight="1" x14ac:dyDescent="0.25">
      <c r="A67" s="1684"/>
      <c r="B67" s="293"/>
      <c r="C67" s="1614"/>
      <c r="D67" s="1614"/>
      <c r="E67" s="1634"/>
      <c r="F67" s="1635"/>
      <c r="G67" s="1614"/>
      <c r="H67" s="1634"/>
      <c r="I67" s="1636"/>
      <c r="J67" s="1616">
        <v>0</v>
      </c>
      <c r="K67" s="1614"/>
      <c r="L67" s="1634"/>
      <c r="M67" s="370"/>
      <c r="N67" s="370"/>
      <c r="O67" s="370"/>
      <c r="P67" s="370"/>
    </row>
    <row r="68" spans="1:16" ht="11.25" customHeight="1" x14ac:dyDescent="0.25">
      <c r="A68" s="1684"/>
      <c r="B68" s="293"/>
      <c r="C68" s="1614"/>
      <c r="D68" s="1614"/>
      <c r="E68" s="1634"/>
      <c r="F68" s="1635"/>
      <c r="G68" s="1614"/>
      <c r="H68" s="1634"/>
      <c r="I68" s="1636"/>
      <c r="J68" s="1616"/>
      <c r="K68" s="1614"/>
      <c r="L68" s="1634"/>
      <c r="M68" s="370"/>
      <c r="N68" s="370"/>
      <c r="O68" s="370"/>
      <c r="P68" s="370"/>
    </row>
    <row r="69" spans="1:16" ht="11.25" customHeight="1" x14ac:dyDescent="0.25">
      <c r="A69" s="1684"/>
      <c r="B69" s="293"/>
      <c r="C69" s="1614"/>
      <c r="D69" s="1614"/>
      <c r="E69" s="1634"/>
      <c r="F69" s="1635"/>
      <c r="G69" s="1614"/>
      <c r="H69" s="1634"/>
      <c r="I69" s="1636"/>
      <c r="J69" s="1616"/>
      <c r="K69" s="1614"/>
      <c r="L69" s="1634"/>
      <c r="M69" s="370"/>
      <c r="N69" s="370"/>
      <c r="O69" s="370"/>
      <c r="P69" s="370"/>
    </row>
    <row r="70" spans="1:16" ht="11.25" customHeight="1" x14ac:dyDescent="0.25">
      <c r="A70" s="1684"/>
      <c r="B70" s="293"/>
      <c r="C70" s="1614"/>
      <c r="D70" s="1614"/>
      <c r="E70" s="1634"/>
      <c r="F70" s="1635"/>
      <c r="G70" s="1614"/>
      <c r="H70" s="1634"/>
      <c r="I70" s="1636"/>
      <c r="J70" s="1616"/>
      <c r="K70" s="1614"/>
      <c r="L70" s="1634"/>
      <c r="M70" s="370"/>
      <c r="N70" s="370"/>
      <c r="O70" s="370"/>
      <c r="P70" s="370"/>
    </row>
    <row r="71" spans="1:16" ht="11.25" customHeight="1" x14ac:dyDescent="0.25">
      <c r="A71" s="1684"/>
      <c r="B71" s="293"/>
      <c r="C71" s="1614"/>
      <c r="D71" s="1614"/>
      <c r="E71" s="1634"/>
      <c r="F71" s="1635"/>
      <c r="G71" s="1614"/>
      <c r="H71" s="1634"/>
      <c r="I71" s="1636"/>
      <c r="J71" s="1616"/>
      <c r="K71" s="1614"/>
      <c r="L71" s="1634"/>
      <c r="M71" s="370"/>
      <c r="N71" s="370"/>
      <c r="O71" s="370"/>
      <c r="P71" s="370"/>
    </row>
    <row r="72" spans="1:16" ht="11.25" customHeight="1" x14ac:dyDescent="0.25">
      <c r="A72" s="326" t="str">
        <f>"Total "&amp;A65</f>
        <v>Total Contributions recognised - capital</v>
      </c>
      <c r="B72" s="293"/>
      <c r="C72" s="213">
        <f t="shared" ref="C72:L72" si="8">SUM(C66:C71)</f>
        <v>0</v>
      </c>
      <c r="D72" s="213">
        <f t="shared" si="8"/>
        <v>0</v>
      </c>
      <c r="E72" s="214">
        <f t="shared" si="8"/>
        <v>0</v>
      </c>
      <c r="F72" s="215">
        <f t="shared" si="8"/>
        <v>0</v>
      </c>
      <c r="G72" s="213">
        <f t="shared" si="8"/>
        <v>0</v>
      </c>
      <c r="H72" s="214">
        <f t="shared" si="8"/>
        <v>0</v>
      </c>
      <c r="I72" s="212">
        <f t="shared" si="8"/>
        <v>0</v>
      </c>
      <c r="J72" s="216">
        <f t="shared" si="8"/>
        <v>0</v>
      </c>
      <c r="K72" s="213">
        <f t="shared" si="8"/>
        <v>0</v>
      </c>
      <c r="L72" s="214">
        <f t="shared" si="8"/>
        <v>0</v>
      </c>
      <c r="M72" s="370"/>
      <c r="N72" s="370"/>
      <c r="O72" s="370"/>
      <c r="P72" s="370"/>
    </row>
    <row r="73" spans="1:16" ht="5.15" customHeight="1" x14ac:dyDescent="0.25">
      <c r="A73" s="201"/>
      <c r="B73" s="293"/>
      <c r="C73" s="203"/>
      <c r="D73" s="203"/>
      <c r="E73" s="204"/>
      <c r="F73" s="205"/>
      <c r="G73" s="203"/>
      <c r="H73" s="204"/>
      <c r="I73" s="202"/>
      <c r="J73" s="206"/>
      <c r="K73" s="203"/>
      <c r="L73" s="204"/>
      <c r="M73" s="370"/>
      <c r="N73" s="370"/>
      <c r="O73" s="370"/>
      <c r="P73" s="370"/>
    </row>
    <row r="74" spans="1:16" ht="11.25" customHeight="1" x14ac:dyDescent="0.25">
      <c r="A74" s="181" t="str">
        <f>'A4-FinPerf RE'!A28</f>
        <v>Depreciation &amp; asset impairment</v>
      </c>
      <c r="B74" s="293"/>
      <c r="C74" s="203"/>
      <c r="D74" s="203"/>
      <c r="E74" s="204"/>
      <c r="F74" s="205"/>
      <c r="G74" s="203"/>
      <c r="H74" s="204"/>
      <c r="I74" s="202"/>
      <c r="J74" s="206"/>
      <c r="K74" s="203"/>
      <c r="L74" s="204"/>
      <c r="M74" s="370"/>
      <c r="N74" s="370"/>
      <c r="O74" s="370"/>
      <c r="P74" s="370"/>
    </row>
    <row r="75" spans="1:16" ht="11.25" customHeight="1" x14ac:dyDescent="0.35">
      <c r="A75" s="325" t="s">
        <v>1578</v>
      </c>
      <c r="B75" s="293"/>
      <c r="C75" s="1614">
        <v>123669181</v>
      </c>
      <c r="D75" s="1614">
        <v>252253563</v>
      </c>
      <c r="E75" s="1634">
        <v>273064405</v>
      </c>
      <c r="F75" s="1635">
        <v>158000000</v>
      </c>
      <c r="G75" s="2606">
        <f>F75</f>
        <v>158000000</v>
      </c>
      <c r="H75" s="2606">
        <f>G75</f>
        <v>158000000</v>
      </c>
      <c r="I75" s="1635">
        <v>158000000</v>
      </c>
      <c r="J75" s="1614">
        <v>189600000</v>
      </c>
      <c r="K75" s="1634">
        <v>227520000</v>
      </c>
      <c r="L75" s="1634">
        <v>273024000</v>
      </c>
      <c r="M75" s="370"/>
      <c r="N75" s="370"/>
      <c r="O75" s="370"/>
      <c r="P75" s="370"/>
    </row>
    <row r="76" spans="1:16" ht="11.25" customHeight="1" x14ac:dyDescent="0.25">
      <c r="A76" s="325" t="s">
        <v>956</v>
      </c>
      <c r="B76" s="293"/>
      <c r="C76" s="1614"/>
      <c r="D76" s="1614"/>
      <c r="E76" s="1634">
        <v>0</v>
      </c>
      <c r="F76" s="1635"/>
      <c r="G76" s="1614"/>
      <c r="H76" s="1634"/>
      <c r="I76" s="1636"/>
      <c r="J76" s="1614"/>
      <c r="K76" s="1634"/>
      <c r="L76" s="1634"/>
      <c r="M76" s="370"/>
      <c r="N76" s="370"/>
      <c r="O76" s="370"/>
      <c r="P76" s="370"/>
    </row>
    <row r="77" spans="1:16" ht="11.25" customHeight="1" x14ac:dyDescent="0.25">
      <c r="A77" s="325" t="s">
        <v>1456</v>
      </c>
      <c r="B77" s="293"/>
      <c r="C77" s="1614">
        <v>397381</v>
      </c>
      <c r="D77" s="1614">
        <v>1259776</v>
      </c>
      <c r="E77" s="1634">
        <v>585791</v>
      </c>
      <c r="F77" s="1635"/>
      <c r="G77" s="1614"/>
      <c r="H77" s="1634"/>
      <c r="I77" s="1636"/>
      <c r="J77" s="1614"/>
      <c r="K77" s="1634"/>
      <c r="L77" s="1634"/>
      <c r="M77" s="370"/>
      <c r="N77" s="370"/>
      <c r="O77" s="370"/>
      <c r="P77" s="370"/>
    </row>
    <row r="78" spans="1:16" ht="11.25" customHeight="1" x14ac:dyDescent="0.25">
      <c r="A78" s="325" t="s">
        <v>2211</v>
      </c>
      <c r="B78" s="293">
        <v>10</v>
      </c>
      <c r="C78" s="1614"/>
      <c r="D78" s="1614"/>
      <c r="E78" s="1634"/>
      <c r="F78" s="1635"/>
      <c r="G78" s="1614"/>
      <c r="H78" s="1634"/>
      <c r="I78" s="1636"/>
      <c r="J78" s="1614"/>
      <c r="K78" s="1634"/>
      <c r="L78" s="1634"/>
      <c r="M78" s="370"/>
      <c r="N78" s="370"/>
      <c r="O78" s="370"/>
      <c r="P78" s="370"/>
    </row>
    <row r="79" spans="1:16" ht="11.25" customHeight="1" x14ac:dyDescent="0.25">
      <c r="A79" s="326" t="str">
        <f>"Total "&amp;LEFT(A74,35)</f>
        <v>Total Depreciation &amp; asset impairment</v>
      </c>
      <c r="B79" s="293">
        <v>1</v>
      </c>
      <c r="C79" s="213">
        <f>SUM(C75:C77)-C78</f>
        <v>124066562</v>
      </c>
      <c r="D79" s="213">
        <f t="shared" ref="D79:L79" si="9">SUM(D75:D77)-D78</f>
        <v>253513339</v>
      </c>
      <c r="E79" s="214">
        <f t="shared" si="9"/>
        <v>273650196</v>
      </c>
      <c r="F79" s="215">
        <f t="shared" si="9"/>
        <v>158000000</v>
      </c>
      <c r="G79" s="213">
        <f t="shared" si="9"/>
        <v>158000000</v>
      </c>
      <c r="H79" s="214">
        <f t="shared" si="9"/>
        <v>158000000</v>
      </c>
      <c r="I79" s="212">
        <f t="shared" si="9"/>
        <v>158000000</v>
      </c>
      <c r="J79" s="216">
        <f>SUM(J75:J77)-J78</f>
        <v>189600000</v>
      </c>
      <c r="K79" s="213">
        <f t="shared" si="9"/>
        <v>227520000</v>
      </c>
      <c r="L79" s="214">
        <f t="shared" si="9"/>
        <v>273024000</v>
      </c>
      <c r="M79" s="370"/>
      <c r="N79" s="370"/>
      <c r="O79" s="370"/>
      <c r="P79" s="370"/>
    </row>
    <row r="80" spans="1:16" ht="5.15" customHeight="1" x14ac:dyDescent="0.25">
      <c r="A80" s="326"/>
      <c r="B80" s="293"/>
      <c r="C80" s="218"/>
      <c r="D80" s="218"/>
      <c r="E80" s="219"/>
      <c r="F80" s="220"/>
      <c r="G80" s="218"/>
      <c r="H80" s="219"/>
      <c r="I80" s="217"/>
      <c r="J80" s="221"/>
      <c r="K80" s="218"/>
      <c r="L80" s="219"/>
      <c r="M80" s="370"/>
      <c r="N80" s="370"/>
      <c r="O80" s="370"/>
      <c r="P80" s="370"/>
    </row>
    <row r="81" spans="1:16" ht="11.25" customHeight="1" x14ac:dyDescent="0.25">
      <c r="A81" s="181" t="str">
        <f>'A4-FinPerf RE'!A30</f>
        <v>Bulk purchases</v>
      </c>
      <c r="B81" s="293"/>
      <c r="C81" s="218"/>
      <c r="D81" s="218"/>
      <c r="E81" s="219"/>
      <c r="F81" s="220"/>
      <c r="G81" s="218"/>
      <c r="H81" s="219"/>
      <c r="I81" s="217"/>
      <c r="J81" s="221"/>
      <c r="K81" s="218"/>
      <c r="L81" s="219"/>
      <c r="M81" s="370"/>
      <c r="N81" s="370"/>
      <c r="O81" s="370"/>
      <c r="P81" s="370"/>
    </row>
    <row r="82" spans="1:16" ht="11.25" customHeight="1" x14ac:dyDescent="0.35">
      <c r="A82" s="190" t="s">
        <v>1207</v>
      </c>
      <c r="B82" s="293"/>
      <c r="C82" s="1614">
        <v>568236145</v>
      </c>
      <c r="D82" s="1614">
        <v>729325043</v>
      </c>
      <c r="E82" s="1634">
        <v>919409896</v>
      </c>
      <c r="F82" s="1635">
        <v>1073680901</v>
      </c>
      <c r="G82" s="2606">
        <v>1406504012</v>
      </c>
      <c r="H82" s="2606">
        <v>1406504012</v>
      </c>
      <c r="I82" s="2606">
        <v>1406504012</v>
      </c>
      <c r="J82" s="1614">
        <f>1160866061</f>
        <v>1160866061</v>
      </c>
      <c r="K82" s="1634">
        <f>1276952667-28691000+14167000</f>
        <v>1262428667</v>
      </c>
      <c r="L82" s="1634">
        <f>1404647933+243738000-272329000</f>
        <v>1376056933</v>
      </c>
      <c r="M82" s="370"/>
      <c r="N82" s="370"/>
      <c r="O82" s="370"/>
      <c r="P82" s="370"/>
    </row>
    <row r="83" spans="1:16" ht="11.25" customHeight="1" x14ac:dyDescent="0.25">
      <c r="A83" s="190" t="s">
        <v>1208</v>
      </c>
      <c r="B83" s="293"/>
      <c r="C83" s="1614">
        <v>236743218</v>
      </c>
      <c r="D83" s="1614">
        <v>265040887</v>
      </c>
      <c r="E83" s="1634">
        <v>297924964</v>
      </c>
      <c r="F83" s="1635">
        <v>309242567.46850133</v>
      </c>
      <c r="G83" s="1614"/>
      <c r="H83" s="1634"/>
      <c r="I83" s="1636"/>
      <c r="J83" s="1614">
        <v>359448960</v>
      </c>
      <c r="K83" s="1634">
        <v>388204877</v>
      </c>
      <c r="L83" s="1634">
        <v>419261267</v>
      </c>
      <c r="M83" s="370"/>
      <c r="N83" s="370"/>
      <c r="O83" s="370"/>
      <c r="P83" s="370"/>
    </row>
    <row r="84" spans="1:16" ht="10.5" customHeight="1" x14ac:dyDescent="0.25">
      <c r="A84" s="326" t="s">
        <v>1209</v>
      </c>
      <c r="B84" s="293">
        <v>1</v>
      </c>
      <c r="C84" s="213">
        <f>SUM(C82:C83)</f>
        <v>804979363</v>
      </c>
      <c r="D84" s="213">
        <f t="shared" ref="D84:L84" si="10">SUM(D82:D83)</f>
        <v>994365930</v>
      </c>
      <c r="E84" s="214">
        <f t="shared" si="10"/>
        <v>1217334860</v>
      </c>
      <c r="F84" s="215">
        <f t="shared" si="10"/>
        <v>1382923468.4685013</v>
      </c>
      <c r="G84" s="213">
        <f t="shared" si="10"/>
        <v>1406504012</v>
      </c>
      <c r="H84" s="214">
        <f t="shared" si="10"/>
        <v>1406504012</v>
      </c>
      <c r="I84" s="212">
        <f t="shared" si="10"/>
        <v>1406504012</v>
      </c>
      <c r="J84" s="216">
        <f t="shared" si="10"/>
        <v>1520315021</v>
      </c>
      <c r="K84" s="213">
        <f t="shared" si="10"/>
        <v>1650633544</v>
      </c>
      <c r="L84" s="214">
        <f t="shared" si="10"/>
        <v>1795318200</v>
      </c>
      <c r="M84" s="370"/>
      <c r="N84" s="370"/>
      <c r="O84" s="370"/>
      <c r="P84" s="370"/>
    </row>
    <row r="85" spans="1:16" ht="4.5" customHeight="1" x14ac:dyDescent="0.25">
      <c r="A85" s="326"/>
      <c r="B85" s="293"/>
      <c r="C85" s="218"/>
      <c r="D85" s="218"/>
      <c r="E85" s="219"/>
      <c r="F85" s="220"/>
      <c r="G85" s="218"/>
      <c r="H85" s="219"/>
      <c r="I85" s="217"/>
      <c r="J85" s="221"/>
      <c r="K85" s="218"/>
      <c r="L85" s="219"/>
      <c r="M85" s="370"/>
      <c r="N85" s="370"/>
      <c r="O85" s="370"/>
      <c r="P85" s="370"/>
    </row>
    <row r="86" spans="1:16" ht="12.75" customHeight="1" x14ac:dyDescent="0.25">
      <c r="A86" s="181" t="s">
        <v>787</v>
      </c>
      <c r="B86" s="293"/>
      <c r="C86" s="218"/>
      <c r="D86" s="218"/>
      <c r="E86" s="219"/>
      <c r="F86" s="220"/>
      <c r="G86" s="218"/>
      <c r="H86" s="219"/>
      <c r="I86" s="217"/>
      <c r="J86" s="221"/>
      <c r="K86" s="218"/>
      <c r="L86" s="219"/>
      <c r="M86" s="370"/>
      <c r="N86" s="370"/>
      <c r="O86" s="370"/>
      <c r="P86" s="370"/>
    </row>
    <row r="87" spans="1:16" ht="12.75" customHeight="1" x14ac:dyDescent="0.25">
      <c r="A87" s="190" t="s">
        <v>2202</v>
      </c>
      <c r="B87" s="293"/>
      <c r="C87" s="1063">
        <f>'SA21'!C34</f>
        <v>1710637</v>
      </c>
      <c r="D87" s="1063">
        <f>'SA21'!D34</f>
        <v>194735</v>
      </c>
      <c r="E87" s="1064">
        <f>'SA21'!E34</f>
        <v>4143827</v>
      </c>
      <c r="F87" s="1065">
        <f>'SA21'!F34</f>
        <v>4500000</v>
      </c>
      <c r="G87" s="1063">
        <f>'SA21'!G34</f>
        <v>4500000</v>
      </c>
      <c r="H87" s="1064">
        <f>'SA21'!H34</f>
        <v>4500000</v>
      </c>
      <c r="I87" s="1066">
        <f>'SA21'!I34</f>
        <v>4500000</v>
      </c>
      <c r="J87" s="1067">
        <f>'SA21'!J34</f>
        <v>5027304</v>
      </c>
      <c r="K87" s="1063">
        <f>'SA21'!K34</f>
        <v>5273870</v>
      </c>
      <c r="L87" s="1064">
        <f>'SA21'!L34</f>
        <v>5562739</v>
      </c>
      <c r="M87" s="370"/>
      <c r="N87" s="370"/>
      <c r="O87" s="370"/>
      <c r="P87" s="370"/>
    </row>
    <row r="88" spans="1:16" ht="12.75" customHeight="1" x14ac:dyDescent="0.25">
      <c r="A88" s="190" t="s">
        <v>2203</v>
      </c>
      <c r="B88" s="293"/>
      <c r="C88" s="1063">
        <f>'SA21'!C65</f>
        <v>0</v>
      </c>
      <c r="D88" s="1063">
        <f>'SA21'!D65</f>
        <v>0</v>
      </c>
      <c r="E88" s="1064">
        <f>'SA21'!E65</f>
        <v>0</v>
      </c>
      <c r="F88" s="1065">
        <f>'SA21'!F65</f>
        <v>0</v>
      </c>
      <c r="G88" s="1063">
        <f>'SA21'!G65</f>
        <v>0</v>
      </c>
      <c r="H88" s="1064">
        <f>'SA21'!H65</f>
        <v>0</v>
      </c>
      <c r="I88" s="1066">
        <f>'SA21'!I65</f>
        <v>0</v>
      </c>
      <c r="J88" s="1067">
        <f>'SA21'!J65</f>
        <v>0</v>
      </c>
      <c r="K88" s="1063">
        <f>'SA21'!K65</f>
        <v>0</v>
      </c>
      <c r="L88" s="1064">
        <f>'SA21'!L65</f>
        <v>0</v>
      </c>
      <c r="M88" s="370"/>
      <c r="N88" s="370"/>
      <c r="O88" s="370"/>
      <c r="P88" s="370"/>
    </row>
    <row r="89" spans="1:16" ht="12.75" customHeight="1" x14ac:dyDescent="0.25">
      <c r="A89" s="326" t="s">
        <v>2204</v>
      </c>
      <c r="B89" s="293">
        <v>1</v>
      </c>
      <c r="C89" s="213">
        <f>SUM(C87:C88)</f>
        <v>1710637</v>
      </c>
      <c r="D89" s="213">
        <f t="shared" ref="D89:L89" si="11">SUM(D87:D88)</f>
        <v>194735</v>
      </c>
      <c r="E89" s="214">
        <f t="shared" si="11"/>
        <v>4143827</v>
      </c>
      <c r="F89" s="215">
        <f t="shared" si="11"/>
        <v>4500000</v>
      </c>
      <c r="G89" s="213">
        <f t="shared" si="11"/>
        <v>4500000</v>
      </c>
      <c r="H89" s="214">
        <f t="shared" si="11"/>
        <v>4500000</v>
      </c>
      <c r="I89" s="212">
        <f t="shared" si="11"/>
        <v>4500000</v>
      </c>
      <c r="J89" s="216">
        <f t="shared" si="11"/>
        <v>5027304</v>
      </c>
      <c r="K89" s="213">
        <f t="shared" si="11"/>
        <v>5273870</v>
      </c>
      <c r="L89" s="214">
        <f t="shared" si="11"/>
        <v>5562739</v>
      </c>
      <c r="M89" s="370"/>
      <c r="N89" s="370"/>
      <c r="O89" s="370"/>
      <c r="P89" s="370"/>
    </row>
    <row r="90" spans="1:16" ht="4.5" customHeight="1" x14ac:dyDescent="0.25">
      <c r="A90" s="326"/>
      <c r="B90" s="293"/>
      <c r="C90" s="218"/>
      <c r="D90" s="218"/>
      <c r="E90" s="219"/>
      <c r="F90" s="220"/>
      <c r="G90" s="218"/>
      <c r="H90" s="219"/>
      <c r="I90" s="217"/>
      <c r="J90" s="221"/>
      <c r="K90" s="218"/>
      <c r="L90" s="219"/>
      <c r="M90" s="370"/>
      <c r="N90" s="370"/>
      <c r="O90" s="370"/>
      <c r="P90" s="370"/>
    </row>
    <row r="91" spans="1:16" ht="11.25" customHeight="1" x14ac:dyDescent="0.25">
      <c r="A91" s="181" t="str">
        <f>'A4-FinPerf RE'!A32</f>
        <v>Contracted services</v>
      </c>
      <c r="B91" s="293"/>
      <c r="C91" s="203"/>
      <c r="D91" s="203"/>
      <c r="E91" s="204"/>
      <c r="F91" s="205"/>
      <c r="G91" s="203"/>
      <c r="H91" s="204"/>
      <c r="I91" s="202"/>
      <c r="J91" s="206"/>
      <c r="K91" s="203"/>
      <c r="L91" s="204"/>
      <c r="M91" s="370"/>
      <c r="N91" s="370"/>
      <c r="O91" s="370"/>
      <c r="P91" s="370"/>
    </row>
    <row r="92" spans="1:16" ht="11.25" customHeight="1" x14ac:dyDescent="0.25">
      <c r="A92" s="1684" t="s">
        <v>2293</v>
      </c>
      <c r="B92" s="293"/>
      <c r="C92" s="1614">
        <v>0</v>
      </c>
      <c r="D92" s="1614">
        <v>0</v>
      </c>
      <c r="E92" s="1634">
        <v>21090729</v>
      </c>
      <c r="F92" s="1635">
        <v>16497000</v>
      </c>
      <c r="G92" s="1053">
        <f>168000+F92</f>
        <v>16665000</v>
      </c>
      <c r="H92" s="1053">
        <f t="shared" ref="H92:I94" si="12">G92</f>
        <v>16665000</v>
      </c>
      <c r="I92" s="1053">
        <f t="shared" si="12"/>
        <v>16665000</v>
      </c>
      <c r="J92" s="1614">
        <v>16791841</v>
      </c>
      <c r="K92" s="1634">
        <v>17677809</v>
      </c>
      <c r="L92" s="1634">
        <v>18555560</v>
      </c>
      <c r="M92" s="370"/>
      <c r="N92" s="370"/>
      <c r="O92" s="370"/>
      <c r="P92" s="370"/>
    </row>
    <row r="93" spans="1:16" ht="11.25" customHeight="1" x14ac:dyDescent="0.25">
      <c r="A93" s="1684" t="s">
        <v>2294</v>
      </c>
      <c r="B93" s="293"/>
      <c r="C93" s="1614"/>
      <c r="D93" s="1614"/>
      <c r="E93" s="1634">
        <v>5236052.1100000003</v>
      </c>
      <c r="F93" s="1635">
        <v>5819835</v>
      </c>
      <c r="G93" s="1053">
        <f>730317+F93</f>
        <v>6550152</v>
      </c>
      <c r="H93" s="1053">
        <f t="shared" si="12"/>
        <v>6550152</v>
      </c>
      <c r="I93" s="1053">
        <f t="shared" si="12"/>
        <v>6550152</v>
      </c>
      <c r="J93" s="1614"/>
      <c r="K93" s="1634"/>
      <c r="L93" s="1634"/>
      <c r="M93" s="370"/>
      <c r="N93" s="370"/>
      <c r="O93" s="370"/>
      <c r="P93" s="370"/>
    </row>
    <row r="94" spans="1:16" ht="11.25" customHeight="1" x14ac:dyDescent="0.25">
      <c r="A94" s="1684" t="s">
        <v>2295</v>
      </c>
      <c r="B94" s="293"/>
      <c r="C94" s="1614"/>
      <c r="D94" s="1614"/>
      <c r="E94" s="1634">
        <v>41476466.409999996</v>
      </c>
      <c r="F94" s="1635">
        <v>34631189</v>
      </c>
      <c r="G94" s="1656">
        <f>7908130+F94</f>
        <v>42539319</v>
      </c>
      <c r="H94" s="1656">
        <f t="shared" si="12"/>
        <v>42539319</v>
      </c>
      <c r="I94" s="1656">
        <f t="shared" si="12"/>
        <v>42539319</v>
      </c>
      <c r="J94" s="1614"/>
      <c r="K94" s="1634"/>
      <c r="L94" s="1634"/>
      <c r="M94" s="370"/>
      <c r="N94" s="370"/>
      <c r="O94" s="370"/>
      <c r="P94" s="370"/>
    </row>
    <row r="95" spans="1:16" ht="11.25" customHeight="1" x14ac:dyDescent="0.25">
      <c r="A95" s="1684"/>
      <c r="B95" s="293"/>
      <c r="C95" s="1614"/>
      <c r="D95" s="1614"/>
      <c r="E95" s="1634"/>
      <c r="F95" s="1635"/>
      <c r="G95" s="1614"/>
      <c r="H95" s="1634"/>
      <c r="I95" s="1636"/>
      <c r="J95" s="1614"/>
      <c r="K95" s="1634"/>
      <c r="L95" s="1634"/>
      <c r="M95" s="370"/>
      <c r="N95" s="370"/>
      <c r="O95" s="370"/>
      <c r="P95" s="370"/>
    </row>
    <row r="96" spans="1:16" ht="11.25" customHeight="1" x14ac:dyDescent="0.25">
      <c r="A96" s="1684"/>
      <c r="B96" s="293"/>
      <c r="C96" s="1614"/>
      <c r="D96" s="1614"/>
      <c r="E96" s="1634"/>
      <c r="F96" s="1635"/>
      <c r="G96" s="1614"/>
      <c r="H96" s="1634"/>
      <c r="I96" s="1636"/>
      <c r="J96" s="1614"/>
      <c r="K96" s="1634"/>
      <c r="L96" s="1634"/>
      <c r="M96" s="370"/>
      <c r="N96" s="370"/>
      <c r="O96" s="370"/>
      <c r="P96" s="370"/>
    </row>
    <row r="97" spans="1:16" ht="11.25" customHeight="1" x14ac:dyDescent="0.25">
      <c r="A97" s="1684"/>
      <c r="B97" s="293"/>
      <c r="C97" s="1614"/>
      <c r="D97" s="1614"/>
      <c r="E97" s="1634"/>
      <c r="F97" s="1635"/>
      <c r="G97" s="1614"/>
      <c r="H97" s="1634"/>
      <c r="I97" s="1636"/>
      <c r="J97" s="1614"/>
      <c r="K97" s="1634"/>
      <c r="L97" s="1634"/>
      <c r="M97" s="370"/>
      <c r="N97" s="370"/>
      <c r="O97" s="370"/>
      <c r="P97" s="370"/>
    </row>
    <row r="98" spans="1:16" ht="11.25" customHeight="1" x14ac:dyDescent="0.25">
      <c r="A98" s="1684"/>
      <c r="B98" s="293"/>
      <c r="C98" s="1614"/>
      <c r="D98" s="1614"/>
      <c r="E98" s="1634"/>
      <c r="F98" s="1635"/>
      <c r="G98" s="1614"/>
      <c r="H98" s="1634"/>
      <c r="I98" s="1636"/>
      <c r="J98" s="1614"/>
      <c r="K98" s="1634"/>
      <c r="L98" s="1634"/>
      <c r="M98" s="370"/>
      <c r="N98" s="370"/>
      <c r="O98" s="370"/>
      <c r="P98" s="370"/>
    </row>
    <row r="99" spans="1:16" ht="11.25" customHeight="1" x14ac:dyDescent="0.25">
      <c r="A99" s="1684"/>
      <c r="B99" s="293"/>
      <c r="C99" s="1614"/>
      <c r="D99" s="1614"/>
      <c r="E99" s="1634"/>
      <c r="F99" s="1635"/>
      <c r="G99" s="1614"/>
      <c r="H99" s="1634"/>
      <c r="I99" s="1636"/>
      <c r="J99" s="1614"/>
      <c r="K99" s="1634"/>
      <c r="L99" s="1634"/>
      <c r="M99" s="370"/>
      <c r="N99" s="370"/>
      <c r="O99" s="370"/>
      <c r="P99" s="370"/>
    </row>
    <row r="100" spans="1:16" ht="11.25" customHeight="1" x14ac:dyDescent="0.25">
      <c r="A100" s="1684"/>
      <c r="B100" s="293"/>
      <c r="C100" s="1614"/>
      <c r="D100" s="1614"/>
      <c r="E100" s="1634"/>
      <c r="F100" s="1635"/>
      <c r="G100" s="1614"/>
      <c r="H100" s="1634"/>
      <c r="I100" s="1636"/>
      <c r="J100" s="1614"/>
      <c r="K100" s="1634"/>
      <c r="L100" s="1634"/>
      <c r="M100" s="370"/>
      <c r="N100" s="370"/>
      <c r="O100" s="370"/>
      <c r="P100" s="370"/>
    </row>
    <row r="101" spans="1:16" ht="11.25" customHeight="1" x14ac:dyDescent="0.25">
      <c r="A101" s="1684"/>
      <c r="B101" s="293"/>
      <c r="C101" s="1614"/>
      <c r="D101" s="1614"/>
      <c r="E101" s="1634"/>
      <c r="F101" s="1635"/>
      <c r="G101" s="1614"/>
      <c r="H101" s="1634"/>
      <c r="I101" s="1636"/>
      <c r="J101" s="1614"/>
      <c r="K101" s="1634"/>
      <c r="L101" s="1634"/>
      <c r="M101" s="370"/>
      <c r="N101" s="370"/>
      <c r="O101" s="370"/>
      <c r="P101" s="370"/>
    </row>
    <row r="102" spans="1:16" ht="11.25" customHeight="1" x14ac:dyDescent="0.25">
      <c r="A102" s="1684"/>
      <c r="B102" s="293"/>
      <c r="C102" s="1614"/>
      <c r="D102" s="1614"/>
      <c r="E102" s="1634"/>
      <c r="F102" s="1635"/>
      <c r="G102" s="1614"/>
      <c r="H102" s="1634"/>
      <c r="I102" s="1636"/>
      <c r="J102" s="1614"/>
      <c r="K102" s="1634"/>
      <c r="L102" s="1634"/>
      <c r="M102" s="370"/>
      <c r="N102" s="370"/>
      <c r="O102" s="370"/>
      <c r="P102" s="370"/>
    </row>
    <row r="103" spans="1:16" ht="11.25" customHeight="1" x14ac:dyDescent="0.25">
      <c r="A103" s="1684"/>
      <c r="B103" s="293"/>
      <c r="C103" s="1614"/>
      <c r="D103" s="1614"/>
      <c r="E103" s="1634"/>
      <c r="F103" s="1635"/>
      <c r="G103" s="1614"/>
      <c r="H103" s="1634"/>
      <c r="I103" s="1636"/>
      <c r="J103" s="1614"/>
      <c r="K103" s="1634"/>
      <c r="L103" s="1634"/>
      <c r="M103" s="370"/>
      <c r="N103" s="370"/>
      <c r="O103" s="370"/>
      <c r="P103" s="370"/>
    </row>
    <row r="104" spans="1:16" ht="11.25" customHeight="1" x14ac:dyDescent="0.25">
      <c r="A104" s="1684"/>
      <c r="B104" s="293"/>
      <c r="C104" s="1614"/>
      <c r="D104" s="1614"/>
      <c r="E104" s="1634"/>
      <c r="F104" s="1635"/>
      <c r="G104" s="1614"/>
      <c r="H104" s="1634"/>
      <c r="I104" s="1636"/>
      <c r="J104" s="1614"/>
      <c r="K104" s="1634"/>
      <c r="L104" s="1634"/>
      <c r="M104" s="370"/>
      <c r="N104" s="370"/>
      <c r="O104" s="370"/>
      <c r="P104" s="370"/>
    </row>
    <row r="105" spans="1:16" ht="11.25" customHeight="1" x14ac:dyDescent="0.25">
      <c r="A105" s="1684"/>
      <c r="B105" s="293"/>
      <c r="C105" s="1614"/>
      <c r="D105" s="1614"/>
      <c r="E105" s="1634"/>
      <c r="F105" s="1635"/>
      <c r="G105" s="1614"/>
      <c r="H105" s="1634"/>
      <c r="I105" s="1636"/>
      <c r="J105" s="1614"/>
      <c r="K105" s="1634"/>
      <c r="L105" s="1634"/>
      <c r="M105" s="370"/>
      <c r="N105" s="370"/>
      <c r="O105" s="370"/>
      <c r="P105" s="370"/>
    </row>
    <row r="106" spans="1:16" ht="11.25" customHeight="1" x14ac:dyDescent="0.25">
      <c r="A106" s="1684"/>
      <c r="B106" s="293"/>
      <c r="C106" s="1614"/>
      <c r="D106" s="1614"/>
      <c r="E106" s="1634"/>
      <c r="F106" s="1635"/>
      <c r="G106" s="1614"/>
      <c r="H106" s="1634"/>
      <c r="I106" s="1636"/>
      <c r="J106" s="1614"/>
      <c r="K106" s="1634"/>
      <c r="L106" s="1634"/>
      <c r="M106" s="370"/>
      <c r="N106" s="370"/>
      <c r="O106" s="370"/>
      <c r="P106" s="370"/>
    </row>
    <row r="107" spans="1:16" ht="11.25" customHeight="1" x14ac:dyDescent="0.25">
      <c r="A107" s="1684"/>
      <c r="B107" s="293"/>
      <c r="C107" s="1614"/>
      <c r="D107" s="1614"/>
      <c r="E107" s="1634"/>
      <c r="F107" s="1635"/>
      <c r="G107" s="1614"/>
      <c r="H107" s="1634"/>
      <c r="I107" s="1636"/>
      <c r="J107" s="1614"/>
      <c r="K107" s="1634"/>
      <c r="L107" s="1634"/>
      <c r="M107" s="370"/>
      <c r="N107" s="370"/>
      <c r="O107" s="370"/>
      <c r="P107" s="370"/>
    </row>
    <row r="108" spans="1:16" ht="11.25" customHeight="1" x14ac:dyDescent="0.25">
      <c r="A108" s="1684"/>
      <c r="B108" s="293"/>
      <c r="C108" s="1614"/>
      <c r="D108" s="1614"/>
      <c r="E108" s="1634"/>
      <c r="F108" s="1635"/>
      <c r="G108" s="1614"/>
      <c r="H108" s="1634"/>
      <c r="I108" s="1636"/>
      <c r="J108" s="1614"/>
      <c r="K108" s="1634"/>
      <c r="L108" s="1634"/>
      <c r="M108" s="370"/>
      <c r="N108" s="370"/>
      <c r="O108" s="370"/>
      <c r="P108" s="370"/>
    </row>
    <row r="109" spans="1:16" ht="11.25" customHeight="1" x14ac:dyDescent="0.25">
      <c r="A109" s="1684"/>
      <c r="B109" s="293"/>
      <c r="C109" s="1614"/>
      <c r="D109" s="1614"/>
      <c r="E109" s="1634"/>
      <c r="F109" s="1635"/>
      <c r="G109" s="1614"/>
      <c r="H109" s="1634"/>
      <c r="I109" s="1636"/>
      <c r="J109" s="1614"/>
      <c r="K109" s="1634"/>
      <c r="L109" s="1634"/>
      <c r="M109" s="370"/>
      <c r="N109" s="370"/>
      <c r="O109" s="370"/>
      <c r="P109" s="370"/>
    </row>
    <row r="110" spans="1:16" ht="11.25" customHeight="1" x14ac:dyDescent="0.25">
      <c r="A110" s="1684"/>
      <c r="B110" s="293"/>
      <c r="C110" s="1614"/>
      <c r="D110" s="1614"/>
      <c r="E110" s="1634"/>
      <c r="F110" s="1635"/>
      <c r="G110" s="1614"/>
      <c r="H110" s="1634"/>
      <c r="I110" s="1636"/>
      <c r="J110" s="1614"/>
      <c r="K110" s="1634"/>
      <c r="L110" s="1634"/>
      <c r="M110" s="370"/>
      <c r="N110" s="370"/>
      <c r="O110" s="370"/>
      <c r="P110" s="370"/>
    </row>
    <row r="111" spans="1:16" ht="11.25" customHeight="1" x14ac:dyDescent="0.25">
      <c r="A111" s="1684"/>
      <c r="B111" s="293"/>
      <c r="C111" s="1614"/>
      <c r="D111" s="1614"/>
      <c r="E111" s="1634"/>
      <c r="F111" s="1635"/>
      <c r="G111" s="1614"/>
      <c r="H111" s="1634"/>
      <c r="I111" s="1636"/>
      <c r="J111" s="1614"/>
      <c r="K111" s="1634"/>
      <c r="L111" s="1634"/>
      <c r="M111" s="370"/>
      <c r="N111" s="370"/>
      <c r="O111" s="370"/>
      <c r="P111" s="370"/>
    </row>
    <row r="112" spans="1:16" ht="11.25" customHeight="1" x14ac:dyDescent="0.25">
      <c r="A112" s="1684"/>
      <c r="B112" s="293"/>
      <c r="C112" s="1614"/>
      <c r="D112" s="1614"/>
      <c r="E112" s="1634"/>
      <c r="F112" s="1635"/>
      <c r="G112" s="1614"/>
      <c r="H112" s="1634"/>
      <c r="I112" s="1636"/>
      <c r="J112" s="1614"/>
      <c r="K112" s="1634"/>
      <c r="L112" s="1634"/>
      <c r="M112" s="370"/>
      <c r="N112" s="370"/>
      <c r="O112" s="370"/>
      <c r="P112" s="370"/>
    </row>
    <row r="113" spans="1:16" ht="11.25" customHeight="1" x14ac:dyDescent="0.25">
      <c r="A113" s="1684"/>
      <c r="B113" s="293"/>
      <c r="C113" s="1614"/>
      <c r="D113" s="1614"/>
      <c r="E113" s="1634"/>
      <c r="F113" s="1635"/>
      <c r="G113" s="1614"/>
      <c r="H113" s="1634"/>
      <c r="I113" s="1636"/>
      <c r="J113" s="1614"/>
      <c r="K113" s="1634"/>
      <c r="L113" s="1634"/>
      <c r="M113" s="370"/>
      <c r="N113" s="370"/>
      <c r="O113" s="370"/>
      <c r="P113" s="370"/>
    </row>
    <row r="114" spans="1:16" ht="11.25" customHeight="1" x14ac:dyDescent="0.25">
      <c r="A114" s="1684"/>
      <c r="B114" s="293"/>
      <c r="C114" s="1614"/>
      <c r="D114" s="1614"/>
      <c r="E114" s="1634"/>
      <c r="F114" s="1635"/>
      <c r="G114" s="1614"/>
      <c r="H114" s="1634"/>
      <c r="I114" s="1636"/>
      <c r="J114" s="1614"/>
      <c r="K114" s="1634"/>
      <c r="L114" s="1634"/>
      <c r="M114" s="370"/>
      <c r="N114" s="370"/>
      <c r="O114" s="370"/>
      <c r="P114" s="370"/>
    </row>
    <row r="115" spans="1:16" ht="11.25" customHeight="1" x14ac:dyDescent="0.25">
      <c r="A115" s="1684"/>
      <c r="B115" s="293"/>
      <c r="C115" s="1614"/>
      <c r="D115" s="1614"/>
      <c r="E115" s="1634"/>
      <c r="F115" s="1635"/>
      <c r="G115" s="1614"/>
      <c r="H115" s="1634"/>
      <c r="I115" s="1636"/>
      <c r="J115" s="1614"/>
      <c r="K115" s="1634"/>
      <c r="L115" s="1634"/>
      <c r="M115" s="370"/>
      <c r="N115" s="370"/>
      <c r="O115" s="370"/>
      <c r="P115" s="370"/>
    </row>
    <row r="116" spans="1:16" ht="11.25" customHeight="1" x14ac:dyDescent="0.25">
      <c r="A116" s="1684"/>
      <c r="B116" s="293"/>
      <c r="C116" s="1614"/>
      <c r="D116" s="1614"/>
      <c r="E116" s="1634"/>
      <c r="F116" s="1635"/>
      <c r="G116" s="1614"/>
      <c r="H116" s="1634"/>
      <c r="I116" s="1636"/>
      <c r="J116" s="1614"/>
      <c r="K116" s="1634"/>
      <c r="L116" s="1634"/>
      <c r="M116" s="370"/>
      <c r="N116" s="370"/>
      <c r="O116" s="370"/>
      <c r="P116" s="370"/>
    </row>
    <row r="117" spans="1:16" ht="11.25" customHeight="1" x14ac:dyDescent="0.25">
      <c r="A117" s="1538" t="s">
        <v>139</v>
      </c>
      <c r="B117" s="293">
        <v>1</v>
      </c>
      <c r="C117" s="213">
        <f t="shared" ref="C117:L117" si="13">SUM(C92:C116)</f>
        <v>0</v>
      </c>
      <c r="D117" s="213">
        <f t="shared" si="13"/>
        <v>0</v>
      </c>
      <c r="E117" s="214">
        <f t="shared" si="13"/>
        <v>67803247.519999996</v>
      </c>
      <c r="F117" s="215">
        <f t="shared" si="13"/>
        <v>56948024</v>
      </c>
      <c r="G117" s="213">
        <f t="shared" si="13"/>
        <v>65754471</v>
      </c>
      <c r="H117" s="214">
        <f t="shared" si="13"/>
        <v>65754471</v>
      </c>
      <c r="I117" s="212">
        <f t="shared" si="13"/>
        <v>65754471</v>
      </c>
      <c r="J117" s="216">
        <f t="shared" si="13"/>
        <v>16791841</v>
      </c>
      <c r="K117" s="213">
        <f t="shared" si="13"/>
        <v>17677809</v>
      </c>
      <c r="L117" s="214">
        <f t="shared" si="13"/>
        <v>18555560</v>
      </c>
      <c r="M117" s="370"/>
      <c r="N117" s="370"/>
      <c r="O117" s="370"/>
      <c r="P117" s="370"/>
    </row>
    <row r="118" spans="1:16" ht="11.25" customHeight="1" x14ac:dyDescent="0.25">
      <c r="A118" s="417" t="s">
        <v>1459</v>
      </c>
      <c r="B118" s="293"/>
      <c r="C118" s="218"/>
      <c r="D118" s="218"/>
      <c r="E118" s="219"/>
      <c r="F118" s="220"/>
      <c r="G118" s="218"/>
      <c r="H118" s="219"/>
      <c r="I118" s="217"/>
      <c r="J118" s="221"/>
      <c r="K118" s="218"/>
      <c r="L118" s="219"/>
      <c r="M118" s="370"/>
      <c r="N118" s="370"/>
      <c r="O118" s="370"/>
      <c r="P118" s="370"/>
    </row>
    <row r="119" spans="1:16" ht="11.25" customHeight="1" x14ac:dyDescent="0.25">
      <c r="A119" s="418" t="s">
        <v>652</v>
      </c>
      <c r="B119" s="293"/>
      <c r="C119" s="1647"/>
      <c r="D119" s="1647"/>
      <c r="E119" s="1648"/>
      <c r="F119" s="1649"/>
      <c r="G119" s="1647"/>
      <c r="H119" s="1648"/>
      <c r="I119" s="1650"/>
      <c r="J119" s="1653"/>
      <c r="K119" s="1647"/>
      <c r="L119" s="1648"/>
      <c r="M119" s="370"/>
      <c r="N119" s="370"/>
      <c r="O119" s="370"/>
      <c r="P119" s="370"/>
    </row>
    <row r="120" spans="1:16" ht="11.25" customHeight="1" x14ac:dyDescent="0.25">
      <c r="A120" s="418" t="s">
        <v>953</v>
      </c>
      <c r="B120" s="293"/>
      <c r="C120" s="1647"/>
      <c r="D120" s="1647"/>
      <c r="E120" s="1648"/>
      <c r="F120" s="1649"/>
      <c r="G120" s="1647"/>
      <c r="H120" s="1648"/>
      <c r="I120" s="1650"/>
      <c r="J120" s="1653"/>
      <c r="K120" s="1647"/>
      <c r="L120" s="1648"/>
      <c r="M120" s="370"/>
      <c r="N120" s="370"/>
      <c r="O120" s="370"/>
      <c r="P120" s="370"/>
    </row>
    <row r="121" spans="1:16" ht="11.25" customHeight="1" x14ac:dyDescent="0.25">
      <c r="A121" s="418" t="s">
        <v>954</v>
      </c>
      <c r="B121" s="293"/>
      <c r="C121" s="1647"/>
      <c r="D121" s="1647"/>
      <c r="E121" s="1648"/>
      <c r="F121" s="1649"/>
      <c r="G121" s="1647"/>
      <c r="H121" s="1648"/>
      <c r="I121" s="1650"/>
      <c r="J121" s="1653"/>
      <c r="K121" s="1647"/>
      <c r="L121" s="1648"/>
      <c r="M121" s="370"/>
      <c r="N121" s="370"/>
      <c r="O121" s="370"/>
      <c r="P121" s="370"/>
    </row>
    <row r="122" spans="1:16" ht="11.25" customHeight="1" x14ac:dyDescent="0.25">
      <c r="A122" s="418" t="s">
        <v>292</v>
      </c>
      <c r="B122" s="293"/>
      <c r="C122" s="1647"/>
      <c r="D122" s="1647"/>
      <c r="E122" s="1648">
        <v>0</v>
      </c>
      <c r="F122" s="1649"/>
      <c r="G122" s="1647"/>
      <c r="H122" s="1648"/>
      <c r="I122" s="1650"/>
      <c r="J122" s="1653"/>
      <c r="K122" s="1647"/>
      <c r="L122" s="1648"/>
      <c r="M122" s="370"/>
      <c r="N122" s="370"/>
      <c r="O122" s="370"/>
      <c r="P122" s="370"/>
    </row>
    <row r="123" spans="1:16" ht="11.25" customHeight="1" x14ac:dyDescent="0.25">
      <c r="A123" s="1185" t="s">
        <v>1460</v>
      </c>
      <c r="B123" s="293"/>
      <c r="C123" s="213">
        <f>SUM(C117:C122)</f>
        <v>0</v>
      </c>
      <c r="D123" s="213">
        <f t="shared" ref="D123:L123" si="14">SUM(D117:D122)</f>
        <v>0</v>
      </c>
      <c r="E123" s="214">
        <f t="shared" si="14"/>
        <v>67803247.519999996</v>
      </c>
      <c r="F123" s="215">
        <f t="shared" si="14"/>
        <v>56948024</v>
      </c>
      <c r="G123" s="213">
        <f t="shared" si="14"/>
        <v>65754471</v>
      </c>
      <c r="H123" s="214">
        <f t="shared" si="14"/>
        <v>65754471</v>
      </c>
      <c r="I123" s="212">
        <f t="shared" si="14"/>
        <v>65754471</v>
      </c>
      <c r="J123" s="216">
        <f t="shared" si="14"/>
        <v>16791841</v>
      </c>
      <c r="K123" s="213">
        <f t="shared" si="14"/>
        <v>17677809</v>
      </c>
      <c r="L123" s="214">
        <f t="shared" si="14"/>
        <v>18555560</v>
      </c>
      <c r="M123" s="370"/>
      <c r="N123" s="370"/>
      <c r="O123" s="370"/>
      <c r="P123" s="370"/>
    </row>
    <row r="124" spans="1:16" ht="5.15" customHeight="1" x14ac:dyDescent="0.25">
      <c r="A124" s="201"/>
      <c r="B124" s="293"/>
      <c r="C124" s="203"/>
      <c r="D124" s="203"/>
      <c r="E124" s="204"/>
      <c r="F124" s="205"/>
      <c r="G124" s="203"/>
      <c r="H124" s="204"/>
      <c r="I124" s="202"/>
      <c r="J124" s="206"/>
      <c r="K124" s="203"/>
      <c r="L124" s="204"/>
      <c r="M124" s="370"/>
      <c r="N124" s="370"/>
      <c r="O124" s="370"/>
      <c r="P124" s="370"/>
    </row>
    <row r="125" spans="1:16" ht="11.25" customHeight="1" x14ac:dyDescent="0.25">
      <c r="A125" s="181" t="s">
        <v>40</v>
      </c>
      <c r="B125" s="295"/>
      <c r="C125" s="203"/>
      <c r="D125" s="203"/>
      <c r="E125" s="204"/>
      <c r="F125" s="205"/>
      <c r="G125" s="203"/>
      <c r="H125" s="204"/>
      <c r="I125" s="202"/>
      <c r="J125" s="206"/>
      <c r="K125" s="203"/>
      <c r="L125" s="204"/>
      <c r="M125" s="370"/>
      <c r="N125" s="370"/>
      <c r="O125" s="370"/>
      <c r="P125" s="370"/>
    </row>
    <row r="126" spans="1:16" ht="11.25" customHeight="1" x14ac:dyDescent="0.25">
      <c r="A126" s="325" t="s">
        <v>476</v>
      </c>
      <c r="B126" s="293"/>
      <c r="C126" s="1614">
        <v>2460768</v>
      </c>
      <c r="D126" s="1614">
        <v>1663830</v>
      </c>
      <c r="E126" s="1634">
        <v>1539889</v>
      </c>
      <c r="F126" s="1635"/>
      <c r="G126" s="1614"/>
      <c r="H126" s="1634"/>
      <c r="I126" s="1636"/>
      <c r="J126" s="1614">
        <v>3102000</v>
      </c>
      <c r="K126" s="1634">
        <v>3253440</v>
      </c>
      <c r="L126" s="1634">
        <v>3412384</v>
      </c>
      <c r="M126" s="370"/>
      <c r="N126" s="370"/>
      <c r="O126" s="370"/>
      <c r="P126" s="370"/>
    </row>
    <row r="127" spans="1:16" ht="11.25" customHeight="1" x14ac:dyDescent="0.25">
      <c r="A127" s="325" t="s">
        <v>1499</v>
      </c>
      <c r="B127" s="293"/>
      <c r="C127" s="1614"/>
      <c r="D127" s="1614"/>
      <c r="E127" s="1634"/>
      <c r="F127" s="1635"/>
      <c r="G127" s="1614"/>
      <c r="H127" s="1634"/>
      <c r="I127" s="1636"/>
      <c r="J127" s="1614"/>
      <c r="K127" s="1634"/>
      <c r="L127" s="1634"/>
      <c r="M127" s="370"/>
      <c r="N127" s="370"/>
      <c r="O127" s="370"/>
      <c r="P127" s="370"/>
    </row>
    <row r="128" spans="1:16" ht="11.25" customHeight="1" x14ac:dyDescent="0.25">
      <c r="A128" s="325" t="s">
        <v>698</v>
      </c>
      <c r="B128" s="293"/>
      <c r="C128" s="1614"/>
      <c r="D128" s="1614"/>
      <c r="E128" s="1634">
        <v>3301612.54</v>
      </c>
      <c r="F128" s="1635">
        <v>1113118</v>
      </c>
      <c r="G128" s="1614">
        <f>6098649+F128</f>
        <v>7211767</v>
      </c>
      <c r="H128" s="1634">
        <f t="shared" ref="H128:I130" si="15">G128</f>
        <v>7211767</v>
      </c>
      <c r="I128" s="1636">
        <f t="shared" si="15"/>
        <v>7211767</v>
      </c>
      <c r="J128" s="1614"/>
      <c r="K128" s="1634"/>
      <c r="L128" s="1634"/>
      <c r="M128" s="370"/>
      <c r="N128" s="370"/>
      <c r="O128" s="370"/>
      <c r="P128" s="370"/>
    </row>
    <row r="129" spans="1:16" ht="11.25" customHeight="1" x14ac:dyDescent="0.25">
      <c r="A129" s="325" t="s">
        <v>699</v>
      </c>
      <c r="B129" s="293"/>
      <c r="C129" s="1614"/>
      <c r="D129" s="1614"/>
      <c r="E129" s="1634">
        <v>4034202</v>
      </c>
      <c r="F129" s="1635">
        <v>4018235</v>
      </c>
      <c r="G129" s="1614">
        <f>50000+F129</f>
        <v>4068235</v>
      </c>
      <c r="H129" s="1634">
        <f t="shared" si="15"/>
        <v>4068235</v>
      </c>
      <c r="I129" s="1636">
        <f t="shared" si="15"/>
        <v>4068235</v>
      </c>
      <c r="J129" s="1614"/>
      <c r="K129" s="1634"/>
      <c r="L129" s="1634"/>
      <c r="M129" s="370"/>
      <c r="N129" s="370"/>
      <c r="O129" s="370"/>
      <c r="P129" s="370"/>
    </row>
    <row r="130" spans="1:16" ht="11.25" customHeight="1" x14ac:dyDescent="0.35">
      <c r="A130" s="190" t="s">
        <v>479</v>
      </c>
      <c r="B130" s="293">
        <v>3</v>
      </c>
      <c r="C130" s="1614">
        <f>766821000-214+C126+C149-2199099-2199099</f>
        <v>831168046</v>
      </c>
      <c r="D130" s="1614">
        <f>676927341-73972-36950000</f>
        <v>639903369</v>
      </c>
      <c r="E130" s="1634">
        <f>-441277000</f>
        <v>-441277000</v>
      </c>
      <c r="F130" s="1618">
        <v>196546089</v>
      </c>
      <c r="G130" s="2605">
        <f>305350000-17587240+3000</f>
        <v>287765760</v>
      </c>
      <c r="H130" s="2605">
        <f t="shared" si="15"/>
        <v>287765760</v>
      </c>
      <c r="I130" s="2605">
        <f>H130</f>
        <v>287765760</v>
      </c>
      <c r="J130" s="1614">
        <f>387996088+254004290-95314000</f>
        <v>546686378</v>
      </c>
      <c r="K130" s="1634">
        <f>473977834-120693188+241387188-99643000</f>
        <v>495028834</v>
      </c>
      <c r="L130" s="1634">
        <f>501582414+18555560+412216238+32367835+126827518+952749-126827518+254923000+11881992-531062000-130802463</f>
        <v>570615325</v>
      </c>
      <c r="M130" s="370"/>
      <c r="N130" s="370"/>
      <c r="O130" s="370"/>
      <c r="P130" s="370"/>
    </row>
    <row r="131" spans="1:16" ht="11.25" customHeight="1" x14ac:dyDescent="0.25">
      <c r="A131" s="1684" t="s">
        <v>2464</v>
      </c>
      <c r="B131" s="293"/>
      <c r="C131" s="1614"/>
      <c r="D131" s="1614"/>
      <c r="E131" s="1634">
        <v>0</v>
      </c>
      <c r="F131" s="1635"/>
      <c r="G131" s="1614"/>
      <c r="H131" s="1634"/>
      <c r="I131" s="1636"/>
      <c r="J131" s="1614">
        <v>6184750</v>
      </c>
      <c r="K131" s="1634">
        <v>6485352</v>
      </c>
      <c r="L131" s="1634">
        <v>6800685</v>
      </c>
      <c r="M131" s="370"/>
      <c r="N131" s="370"/>
      <c r="O131" s="370"/>
      <c r="P131" s="370"/>
    </row>
    <row r="132" spans="1:16" ht="11.25" customHeight="1" x14ac:dyDescent="0.25">
      <c r="A132" s="1684" t="s">
        <v>2296</v>
      </c>
      <c r="B132" s="293"/>
      <c r="C132" s="1614"/>
      <c r="D132" s="1614"/>
      <c r="E132" s="1634">
        <v>58209770</v>
      </c>
      <c r="F132" s="1635"/>
      <c r="G132" s="1614"/>
      <c r="H132" s="1634"/>
      <c r="I132" s="1636"/>
      <c r="J132" s="1614"/>
      <c r="K132" s="1634"/>
      <c r="L132" s="1634"/>
      <c r="M132" s="370"/>
      <c r="N132" s="370"/>
      <c r="O132" s="370"/>
      <c r="P132" s="370"/>
    </row>
    <row r="133" spans="1:16" ht="11.25" customHeight="1" x14ac:dyDescent="0.25">
      <c r="A133" s="1684" t="s">
        <v>2422</v>
      </c>
      <c r="B133" s="293"/>
      <c r="C133" s="1614"/>
      <c r="D133" s="1614"/>
      <c r="E133" s="1634">
        <v>0</v>
      </c>
      <c r="F133" s="1635"/>
      <c r="G133" s="1614"/>
      <c r="H133" s="1634"/>
      <c r="I133" s="1636"/>
      <c r="J133" s="1614">
        <v>3512234</v>
      </c>
      <c r="K133" s="1634">
        <v>3648286</v>
      </c>
      <c r="L133" s="1634">
        <v>3821340</v>
      </c>
      <c r="M133" s="370"/>
      <c r="N133" s="370"/>
      <c r="O133" s="370"/>
      <c r="P133" s="370"/>
    </row>
    <row r="134" spans="1:16" ht="11.25" customHeight="1" x14ac:dyDescent="0.25">
      <c r="A134" s="1684" t="s">
        <v>2297</v>
      </c>
      <c r="B134" s="293"/>
      <c r="C134" s="1614"/>
      <c r="D134" s="1614"/>
      <c r="E134" s="1634">
        <v>71449049</v>
      </c>
      <c r="F134" s="1635"/>
      <c r="G134" s="1614"/>
      <c r="H134" s="1634"/>
      <c r="I134" s="1636"/>
      <c r="J134" s="1614"/>
      <c r="K134" s="1634"/>
      <c r="L134" s="1634"/>
      <c r="M134" s="370"/>
      <c r="N134" s="370"/>
      <c r="O134" s="370"/>
      <c r="P134" s="370"/>
    </row>
    <row r="135" spans="1:16" ht="11.25" customHeight="1" x14ac:dyDescent="0.25">
      <c r="A135" s="1684" t="s">
        <v>2457</v>
      </c>
      <c r="B135" s="293"/>
      <c r="C135" s="1614"/>
      <c r="D135" s="1614"/>
      <c r="E135" s="1634">
        <v>4143828</v>
      </c>
      <c r="F135" s="1635"/>
      <c r="G135" s="1614"/>
      <c r="H135" s="1634"/>
      <c r="I135" s="1636"/>
      <c r="J135" s="1614">
        <v>4314000</v>
      </c>
      <c r="K135" s="1634">
        <v>2534000</v>
      </c>
      <c r="L135" s="1634">
        <v>2617000</v>
      </c>
      <c r="M135" s="370"/>
      <c r="N135" s="370"/>
      <c r="O135" s="370"/>
      <c r="P135" s="370"/>
    </row>
    <row r="136" spans="1:16" ht="11.25" customHeight="1" x14ac:dyDescent="0.25">
      <c r="A136" s="1684" t="s">
        <v>2421</v>
      </c>
      <c r="B136" s="293"/>
      <c r="C136" s="1614"/>
      <c r="D136" s="1614"/>
      <c r="E136" s="1634">
        <v>0</v>
      </c>
      <c r="F136" s="1635"/>
      <c r="G136" s="1614"/>
      <c r="H136" s="1634"/>
      <c r="I136" s="1636"/>
      <c r="J136" s="1614">
        <v>2802621</v>
      </c>
      <c r="K136" s="1634">
        <v>2802621</v>
      </c>
      <c r="L136" s="1634">
        <v>2802621</v>
      </c>
      <c r="M136" s="370"/>
      <c r="N136" s="370"/>
      <c r="O136" s="370"/>
      <c r="P136" s="370"/>
    </row>
    <row r="137" spans="1:16" ht="11.25" customHeight="1" x14ac:dyDescent="0.25">
      <c r="A137" s="1684" t="s">
        <v>2298</v>
      </c>
      <c r="B137" s="293"/>
      <c r="C137" s="1614"/>
      <c r="D137" s="1614"/>
      <c r="E137" s="1634">
        <v>383726057</v>
      </c>
      <c r="F137" s="1635"/>
      <c r="G137" s="1614"/>
      <c r="H137" s="1634"/>
      <c r="I137" s="1636"/>
      <c r="J137" s="1614"/>
      <c r="K137" s="1634"/>
      <c r="L137" s="1634"/>
      <c r="M137" s="370"/>
      <c r="N137" s="370"/>
      <c r="O137" s="370"/>
      <c r="P137" s="370"/>
    </row>
    <row r="138" spans="1:16" ht="11.25" customHeight="1" x14ac:dyDescent="0.25">
      <c r="A138" s="1684" t="s">
        <v>2295</v>
      </c>
      <c r="B138" s="293"/>
      <c r="C138" s="1614"/>
      <c r="D138" s="1614"/>
      <c r="E138" s="1634">
        <v>41476466</v>
      </c>
      <c r="F138" s="1635"/>
      <c r="G138" s="1614"/>
      <c r="H138" s="1634"/>
      <c r="I138" s="1636"/>
      <c r="J138" s="1614">
        <v>40383962</v>
      </c>
      <c r="K138" s="1634">
        <v>42207757</v>
      </c>
      <c r="L138" s="1634">
        <v>43363673</v>
      </c>
      <c r="M138" s="370"/>
      <c r="N138" s="370"/>
      <c r="O138" s="370"/>
      <c r="P138" s="370"/>
    </row>
    <row r="139" spans="1:16" ht="11.25" customHeight="1" x14ac:dyDescent="0.25">
      <c r="A139" s="1684" t="s">
        <v>2299</v>
      </c>
      <c r="B139" s="293"/>
      <c r="C139" s="1614"/>
      <c r="D139" s="1614"/>
      <c r="E139" s="1634">
        <v>54379796</v>
      </c>
      <c r="F139" s="1635"/>
      <c r="G139" s="1614"/>
      <c r="H139" s="1634"/>
      <c r="I139" s="1636"/>
      <c r="J139" s="1614"/>
      <c r="K139" s="1634"/>
      <c r="L139" s="1634"/>
      <c r="M139" s="370"/>
      <c r="N139" s="370"/>
      <c r="O139" s="370"/>
      <c r="P139" s="370"/>
    </row>
    <row r="140" spans="1:16" ht="11.25" customHeight="1" x14ac:dyDescent="0.25">
      <c r="A140" s="1684" t="s">
        <v>2300</v>
      </c>
      <c r="B140" s="293"/>
      <c r="C140" s="1614"/>
      <c r="D140" s="1614"/>
      <c r="E140" s="1634">
        <v>16216678.27</v>
      </c>
      <c r="F140" s="1635"/>
      <c r="G140" s="1614"/>
      <c r="H140" s="1634"/>
      <c r="I140" s="1636"/>
      <c r="J140" s="1614"/>
      <c r="K140" s="1634"/>
      <c r="L140" s="1634"/>
      <c r="M140" s="370"/>
      <c r="N140" s="370"/>
      <c r="O140" s="370"/>
      <c r="P140" s="370"/>
    </row>
    <row r="141" spans="1:16" ht="11.25" customHeight="1" x14ac:dyDescent="0.25">
      <c r="A141" s="1684" t="s">
        <v>2466</v>
      </c>
      <c r="B141" s="293"/>
      <c r="C141" s="1614"/>
      <c r="D141" s="1614"/>
      <c r="E141" s="1634">
        <v>0</v>
      </c>
      <c r="F141" s="1635"/>
      <c r="G141" s="1614"/>
      <c r="H141" s="1634"/>
      <c r="I141" s="1636"/>
      <c r="J141" s="1614">
        <v>1585421</v>
      </c>
      <c r="K141" s="1634">
        <v>0</v>
      </c>
      <c r="L141" s="1634">
        <v>0</v>
      </c>
      <c r="M141" s="370"/>
      <c r="N141" s="370"/>
      <c r="O141" s="370"/>
      <c r="P141" s="370"/>
    </row>
    <row r="142" spans="1:16" ht="11.25" customHeight="1" x14ac:dyDescent="0.25">
      <c r="A142" s="1684" t="s">
        <v>2301</v>
      </c>
      <c r="B142" s="293"/>
      <c r="C142" s="1614"/>
      <c r="D142" s="1614"/>
      <c r="E142" s="1634">
        <v>10350093.710000001</v>
      </c>
      <c r="F142" s="1635"/>
      <c r="G142" s="1614"/>
      <c r="H142" s="1634"/>
      <c r="I142" s="1636"/>
      <c r="J142" s="1614">
        <v>0</v>
      </c>
      <c r="K142" s="1634">
        <v>0</v>
      </c>
      <c r="L142" s="1634">
        <v>0</v>
      </c>
      <c r="M142" s="370"/>
      <c r="N142" s="370"/>
      <c r="O142" s="370"/>
      <c r="P142" s="370"/>
    </row>
    <row r="143" spans="1:16" ht="11.25" customHeight="1" x14ac:dyDescent="0.25">
      <c r="A143" s="1684" t="s">
        <v>2465</v>
      </c>
      <c r="B143" s="293"/>
      <c r="C143" s="1614"/>
      <c r="D143" s="1614"/>
      <c r="E143" s="1634">
        <v>0</v>
      </c>
      <c r="F143" s="1635"/>
      <c r="G143" s="1614"/>
      <c r="H143" s="1634"/>
      <c r="I143" s="1636"/>
      <c r="J143" s="1614">
        <v>6448842</v>
      </c>
      <c r="K143" s="1634">
        <v>6725792</v>
      </c>
      <c r="L143" s="1634">
        <v>7062082</v>
      </c>
      <c r="M143" s="370"/>
      <c r="N143" s="370"/>
      <c r="O143" s="370"/>
      <c r="P143" s="370"/>
    </row>
    <row r="144" spans="1:16" ht="11.25" customHeight="1" x14ac:dyDescent="0.25">
      <c r="A144" s="1684" t="s">
        <v>2302</v>
      </c>
      <c r="B144" s="293"/>
      <c r="C144" s="1614"/>
      <c r="D144" s="1614"/>
      <c r="E144" s="1634">
        <v>7000612.1699999999</v>
      </c>
      <c r="F144" s="1635"/>
      <c r="G144" s="1614"/>
      <c r="H144" s="1634"/>
      <c r="I144" s="1636"/>
      <c r="J144" s="1614">
        <v>0</v>
      </c>
      <c r="K144" s="1634">
        <v>0</v>
      </c>
      <c r="L144" s="1634">
        <v>0</v>
      </c>
      <c r="M144" s="370"/>
      <c r="N144" s="370"/>
      <c r="O144" s="370"/>
      <c r="P144" s="370"/>
    </row>
    <row r="145" spans="1:16" ht="11.25" customHeight="1" x14ac:dyDescent="0.25">
      <c r="A145" s="1684" t="s">
        <v>2303</v>
      </c>
      <c r="B145" s="293"/>
      <c r="C145" s="1614"/>
      <c r="D145" s="1614"/>
      <c r="E145" s="1634">
        <v>14612061.789999999</v>
      </c>
      <c r="F145" s="1635"/>
      <c r="G145" s="1614"/>
      <c r="H145" s="1634"/>
      <c r="I145" s="1636"/>
      <c r="J145" s="1614">
        <v>0</v>
      </c>
      <c r="K145" s="1634">
        <v>0</v>
      </c>
      <c r="L145" s="1634">
        <v>0</v>
      </c>
      <c r="M145" s="370"/>
      <c r="N145" s="370"/>
      <c r="O145" s="370"/>
      <c r="P145" s="370"/>
    </row>
    <row r="146" spans="1:16" ht="11.25" customHeight="1" x14ac:dyDescent="0.25">
      <c r="A146" s="1684" t="s">
        <v>2304</v>
      </c>
      <c r="B146" s="293"/>
      <c r="C146" s="1614"/>
      <c r="D146" s="1614"/>
      <c r="E146" s="1634">
        <v>18222311</v>
      </c>
      <c r="F146" s="1635"/>
      <c r="G146" s="1614"/>
      <c r="H146" s="1634"/>
      <c r="I146" s="1636"/>
      <c r="J146" s="1614">
        <v>0</v>
      </c>
      <c r="K146" s="1634">
        <v>0</v>
      </c>
      <c r="L146" s="1634">
        <v>0</v>
      </c>
      <c r="M146" s="370"/>
      <c r="N146" s="370"/>
      <c r="O146" s="370"/>
      <c r="P146" s="370"/>
    </row>
    <row r="147" spans="1:16" ht="11.25" customHeight="1" x14ac:dyDescent="0.25">
      <c r="A147" s="1633" t="s">
        <v>2305</v>
      </c>
      <c r="B147" s="293"/>
      <c r="C147" s="1614"/>
      <c r="D147" s="1614"/>
      <c r="E147" s="1634">
        <v>15751422.550000001</v>
      </c>
      <c r="F147" s="1635"/>
      <c r="G147" s="1614"/>
      <c r="H147" s="1634"/>
      <c r="I147" s="1636"/>
      <c r="J147" s="1614">
        <v>0</v>
      </c>
      <c r="K147" s="1634">
        <v>0</v>
      </c>
      <c r="L147" s="1634">
        <v>0</v>
      </c>
      <c r="M147" s="370"/>
      <c r="N147" s="370"/>
      <c r="O147" s="370"/>
      <c r="P147" s="370"/>
    </row>
    <row r="148" spans="1:16" ht="11.25" customHeight="1" x14ac:dyDescent="0.25">
      <c r="A148" s="1633" t="s">
        <v>2462</v>
      </c>
      <c r="B148" s="293"/>
      <c r="C148" s="1614"/>
      <c r="D148" s="1614"/>
      <c r="E148" s="1634">
        <v>0</v>
      </c>
      <c r="F148" s="1635"/>
      <c r="G148" s="1614"/>
      <c r="H148" s="1634"/>
      <c r="I148" s="1636"/>
      <c r="J148" s="1634">
        <v>18790906</v>
      </c>
      <c r="K148" s="1634">
        <v>19474767</v>
      </c>
      <c r="L148" s="1634">
        <v>20196240</v>
      </c>
      <c r="M148" s="370"/>
      <c r="N148" s="370"/>
      <c r="O148" s="370"/>
      <c r="P148" s="370"/>
    </row>
    <row r="149" spans="1:16" ht="11.25" customHeight="1" x14ac:dyDescent="0.25">
      <c r="A149" s="1633" t="s">
        <v>444</v>
      </c>
      <c r="B149" s="293"/>
      <c r="C149" s="1614">
        <v>66284690</v>
      </c>
      <c r="D149" s="1614">
        <v>58214303</v>
      </c>
      <c r="E149" s="1634">
        <v>39510000</v>
      </c>
      <c r="F149" s="1635">
        <v>89185000</v>
      </c>
      <c r="G149" s="1614">
        <v>89288000</v>
      </c>
      <c r="H149" s="1614">
        <v>89288000</v>
      </c>
      <c r="I149" s="1614">
        <v>89288000</v>
      </c>
      <c r="J149" s="1656">
        <v>95314000</v>
      </c>
      <c r="K149" s="1660">
        <v>99643000</v>
      </c>
      <c r="L149" s="1660">
        <v>130802463</v>
      </c>
      <c r="M149" s="370"/>
      <c r="N149" s="370"/>
      <c r="O149" s="370"/>
      <c r="P149" s="370"/>
    </row>
    <row r="150" spans="1:16" ht="11.25" customHeight="1" x14ac:dyDescent="0.25">
      <c r="A150" s="1633" t="s">
        <v>2461</v>
      </c>
      <c r="B150" s="293"/>
      <c r="C150" s="1614"/>
      <c r="D150" s="1614"/>
      <c r="E150" s="1634"/>
      <c r="F150" s="1635"/>
      <c r="G150" s="1614"/>
      <c r="H150" s="1634"/>
      <c r="I150" s="1636"/>
      <c r="J150" s="1634">
        <v>2154726</v>
      </c>
      <c r="K150" s="1634">
        <v>2273236</v>
      </c>
      <c r="L150" s="1634">
        <v>2398264</v>
      </c>
      <c r="M150" s="370"/>
      <c r="N150" s="370"/>
      <c r="O150" s="370"/>
      <c r="P150" s="370"/>
    </row>
    <row r="151" spans="1:16" ht="11.25" customHeight="1" x14ac:dyDescent="0.25">
      <c r="A151" s="1633" t="s">
        <v>2463</v>
      </c>
      <c r="B151" s="293"/>
      <c r="C151" s="1614"/>
      <c r="D151" s="1614"/>
      <c r="E151" s="1634"/>
      <c r="F151" s="1635"/>
      <c r="G151" s="1614"/>
      <c r="H151" s="1634"/>
      <c r="I151" s="1636"/>
      <c r="J151" s="1634">
        <v>1666102</v>
      </c>
      <c r="K151" s="1634">
        <v>1793842</v>
      </c>
      <c r="L151" s="1634">
        <v>1933170</v>
      </c>
      <c r="M151" s="370"/>
      <c r="N151" s="370"/>
      <c r="O151" s="370"/>
      <c r="P151" s="370"/>
    </row>
    <row r="152" spans="1:16" ht="11.25" customHeight="1" x14ac:dyDescent="0.25">
      <c r="A152" s="1633"/>
      <c r="B152" s="293"/>
      <c r="C152" s="1614"/>
      <c r="D152" s="1614"/>
      <c r="E152" s="1634"/>
      <c r="F152" s="1635"/>
      <c r="G152" s="1614"/>
      <c r="H152" s="1634"/>
      <c r="I152" s="1636"/>
      <c r="J152" s="1634">
        <v>0</v>
      </c>
      <c r="K152" s="1634">
        <v>0</v>
      </c>
      <c r="L152" s="1634">
        <v>0</v>
      </c>
      <c r="M152" s="370"/>
      <c r="N152" s="370"/>
      <c r="O152" s="370"/>
      <c r="P152" s="370"/>
    </row>
    <row r="153" spans="1:16" ht="11.25" customHeight="1" x14ac:dyDescent="0.25">
      <c r="A153" s="346" t="s">
        <v>768</v>
      </c>
      <c r="B153" s="347">
        <v>1</v>
      </c>
      <c r="C153" s="230">
        <f>SUM(C126:C152)</f>
        <v>899913504</v>
      </c>
      <c r="D153" s="230">
        <f t="shared" ref="D153:L153" si="16">SUM(D126:D152)</f>
        <v>699781502</v>
      </c>
      <c r="E153" s="228">
        <f t="shared" si="16"/>
        <v>302646849.03000003</v>
      </c>
      <c r="F153" s="229">
        <f t="shared" si="16"/>
        <v>290862442</v>
      </c>
      <c r="G153" s="230">
        <f t="shared" si="16"/>
        <v>388333762</v>
      </c>
      <c r="H153" s="228">
        <f t="shared" si="16"/>
        <v>388333762</v>
      </c>
      <c r="I153" s="231">
        <f t="shared" si="16"/>
        <v>388333762</v>
      </c>
      <c r="J153" s="232">
        <f t="shared" si="16"/>
        <v>732945942</v>
      </c>
      <c r="K153" s="230">
        <f t="shared" si="16"/>
        <v>685870927</v>
      </c>
      <c r="L153" s="228">
        <f t="shared" si="16"/>
        <v>795825247</v>
      </c>
      <c r="M153" s="370"/>
      <c r="N153" s="370"/>
      <c r="O153" s="370"/>
      <c r="P153" s="370"/>
    </row>
    <row r="154" spans="1:16" ht="11.25" customHeight="1" x14ac:dyDescent="0.25">
      <c r="A154" s="240"/>
      <c r="B154" s="236"/>
      <c r="C154" s="217"/>
      <c r="D154" s="217"/>
      <c r="E154" s="217"/>
      <c r="F154" s="217"/>
      <c r="G154" s="217"/>
      <c r="H154" s="217"/>
      <c r="I154" s="217"/>
      <c r="J154" s="217"/>
      <c r="K154" s="217"/>
      <c r="L154" s="217"/>
      <c r="M154" s="370"/>
      <c r="N154" s="370"/>
      <c r="O154" s="370"/>
      <c r="P154" s="370"/>
    </row>
    <row r="155" spans="1:16" ht="11.25" customHeight="1" x14ac:dyDescent="0.25">
      <c r="A155" s="2080" t="s">
        <v>1934</v>
      </c>
      <c r="B155" s="2099">
        <v>8</v>
      </c>
      <c r="C155" s="2081"/>
      <c r="D155" s="1594"/>
      <c r="E155" s="555"/>
      <c r="F155" s="2081"/>
      <c r="G155" s="1594"/>
      <c r="H155" s="555"/>
      <c r="I155" s="1584"/>
      <c r="J155" s="2081"/>
      <c r="K155" s="1594"/>
      <c r="L155" s="555"/>
      <c r="M155" s="370"/>
      <c r="N155" s="370"/>
      <c r="O155" s="370"/>
      <c r="P155" s="370"/>
    </row>
    <row r="156" spans="1:16" ht="27" customHeight="1" x14ac:dyDescent="0.25">
      <c r="A156" s="190" t="s">
        <v>475</v>
      </c>
      <c r="B156" s="1598"/>
      <c r="C156" s="1618"/>
      <c r="D156" s="1614"/>
      <c r="E156" s="1617"/>
      <c r="F156" s="1618"/>
      <c r="G156" s="1614"/>
      <c r="H156" s="1617"/>
      <c r="I156" s="1795"/>
      <c r="J156" s="1614"/>
      <c r="K156" s="1617"/>
      <c r="L156" s="1617"/>
      <c r="M156" s="370"/>
      <c r="N156" s="370"/>
      <c r="O156" s="370"/>
      <c r="P156" s="370"/>
    </row>
    <row r="157" spans="1:16" s="709" customFormat="1" ht="11.25" customHeight="1" x14ac:dyDescent="0.25">
      <c r="A157" s="190" t="s">
        <v>1517</v>
      </c>
      <c r="B157" s="1598"/>
      <c r="C157" s="1618"/>
      <c r="D157" s="1614"/>
      <c r="E157" s="1617"/>
      <c r="F157" s="1618"/>
      <c r="G157" s="1614"/>
      <c r="H157" s="1617"/>
      <c r="I157" s="1795"/>
      <c r="J157" s="1614"/>
      <c r="K157" s="1617"/>
      <c r="L157" s="1617"/>
      <c r="M157" s="1086"/>
      <c r="N157" s="1086"/>
      <c r="O157" s="1086"/>
      <c r="P157" s="1086"/>
    </row>
    <row r="158" spans="1:16" s="709" customFormat="1" ht="11.25" customHeight="1" x14ac:dyDescent="0.25">
      <c r="A158" s="190" t="s">
        <v>1935</v>
      </c>
      <c r="B158" s="1598"/>
      <c r="C158" s="1618"/>
      <c r="D158" s="1614"/>
      <c r="E158" s="1617"/>
      <c r="F158" s="1618"/>
      <c r="G158" s="1614"/>
      <c r="H158" s="1617"/>
      <c r="I158" s="1795"/>
      <c r="J158" s="1614"/>
      <c r="K158" s="1617"/>
      <c r="L158" s="1617"/>
      <c r="M158" s="1086"/>
      <c r="N158" s="1086"/>
      <c r="O158" s="1086"/>
      <c r="P158" s="1086"/>
    </row>
    <row r="159" spans="1:16" s="709" customFormat="1" ht="11.25" customHeight="1" x14ac:dyDescent="0.25">
      <c r="A159" s="190" t="s">
        <v>1936</v>
      </c>
      <c r="B159" s="1598"/>
      <c r="C159" s="1614">
        <v>66284690</v>
      </c>
      <c r="D159" s="1614">
        <v>58214303000</v>
      </c>
      <c r="E159" s="1660">
        <v>39509685</v>
      </c>
      <c r="F159" s="2091">
        <v>89185350</v>
      </c>
      <c r="G159" s="1614">
        <v>89288000</v>
      </c>
      <c r="H159" s="1614">
        <v>89288000</v>
      </c>
      <c r="I159" s="1614">
        <v>89288000</v>
      </c>
      <c r="J159" s="1656">
        <v>95313927</v>
      </c>
      <c r="K159" s="1660">
        <v>99642784</v>
      </c>
      <c r="L159" s="1660">
        <v>130802463</v>
      </c>
      <c r="M159" s="1086"/>
      <c r="N159" s="1086"/>
      <c r="O159" s="1086"/>
      <c r="P159" s="1086"/>
    </row>
    <row r="160" spans="1:16" s="709" customFormat="1" ht="11.25" customHeight="1" x14ac:dyDescent="0.25">
      <c r="A160" s="346" t="s">
        <v>1224</v>
      </c>
      <c r="B160" s="2100">
        <v>9</v>
      </c>
      <c r="C160" s="2083">
        <f>SUM(C156:C159)</f>
        <v>66284690</v>
      </c>
      <c r="D160" s="433">
        <f t="shared" ref="D160:L160" si="17">SUM(D156:D159)</f>
        <v>58214303000</v>
      </c>
      <c r="E160" s="2082">
        <f t="shared" si="17"/>
        <v>39509685</v>
      </c>
      <c r="F160" s="2083">
        <f t="shared" si="17"/>
        <v>89185350</v>
      </c>
      <c r="G160" s="433">
        <f t="shared" si="17"/>
        <v>89288000</v>
      </c>
      <c r="H160" s="2082">
        <f t="shared" si="17"/>
        <v>89288000</v>
      </c>
      <c r="I160" s="2084">
        <f t="shared" si="17"/>
        <v>89288000</v>
      </c>
      <c r="J160" s="2083">
        <f t="shared" si="17"/>
        <v>95313927</v>
      </c>
      <c r="K160" s="433">
        <f t="shared" si="17"/>
        <v>99642784</v>
      </c>
      <c r="L160" s="2082">
        <f t="shared" si="17"/>
        <v>130802463</v>
      </c>
      <c r="M160" s="1086"/>
      <c r="N160" s="1086"/>
      <c r="O160" s="1086"/>
      <c r="P160" s="1086"/>
    </row>
    <row r="161" spans="1:16" s="709" customFormat="1" ht="11.25" customHeight="1" x14ac:dyDescent="0.25">
      <c r="A161" s="240"/>
      <c r="B161" s="246"/>
      <c r="C161" s="202"/>
      <c r="D161" s="202"/>
      <c r="E161" s="202"/>
      <c r="F161" s="202"/>
      <c r="G161" s="202"/>
      <c r="H161" s="202"/>
      <c r="I161" s="202"/>
      <c r="J161" s="202"/>
      <c r="K161" s="202"/>
      <c r="L161" s="202"/>
      <c r="M161" s="1086"/>
      <c r="N161" s="1086"/>
      <c r="O161" s="1086"/>
      <c r="P161" s="1086"/>
    </row>
    <row r="162" spans="1:16" s="709" customFormat="1" ht="12.75" customHeight="1" x14ac:dyDescent="0.25">
      <c r="A162" s="320" t="s">
        <v>1512</v>
      </c>
      <c r="B162" s="149"/>
      <c r="C162" s="202">
        <f>C160-SA34c!C77</f>
        <v>-51908832</v>
      </c>
      <c r="D162" s="202">
        <f>D160-SA34c!D77</f>
        <v>58148655163</v>
      </c>
      <c r="E162" s="202">
        <f>E160-SA34c!E77</f>
        <v>-2</v>
      </c>
      <c r="F162" s="202">
        <f>F160-SA34c!F77</f>
        <v>0</v>
      </c>
      <c r="G162" s="202">
        <f>G160-SA34c!G77</f>
        <v>-289</v>
      </c>
      <c r="H162" s="202">
        <f>H160-SA34c!H77</f>
        <v>-472</v>
      </c>
      <c r="I162" s="202"/>
      <c r="J162" s="202">
        <f>J160-SA34c!I77</f>
        <v>0</v>
      </c>
      <c r="K162" s="202">
        <f>K160-SA34c!J77</f>
        <v>0</v>
      </c>
      <c r="L162" s="202">
        <f>L160-SA34c!K77</f>
        <v>0</v>
      </c>
      <c r="M162" s="1086"/>
      <c r="N162" s="1086"/>
      <c r="O162" s="1086"/>
      <c r="P162" s="1086"/>
    </row>
    <row r="163" spans="1:16" s="709" customFormat="1" ht="11.25" customHeight="1" x14ac:dyDescent="0.25">
      <c r="A163" s="240"/>
      <c r="B163" s="236"/>
      <c r="C163" s="217"/>
      <c r="D163" s="217"/>
      <c r="E163" s="217"/>
      <c r="F163" s="217"/>
      <c r="G163" s="217"/>
      <c r="H163" s="217"/>
      <c r="I163" s="217"/>
      <c r="J163" s="217"/>
      <c r="K163" s="217"/>
      <c r="L163" s="217"/>
    </row>
    <row r="164" spans="1:16" ht="6" customHeight="1" x14ac:dyDescent="0.25">
      <c r="A164" s="240"/>
      <c r="B164" s="236"/>
      <c r="C164" s="217"/>
      <c r="D164" s="217"/>
      <c r="E164" s="217"/>
      <c r="F164" s="217"/>
      <c r="G164" s="217"/>
      <c r="H164" s="217"/>
      <c r="I164" s="217"/>
      <c r="J164" s="217"/>
      <c r="K164" s="217"/>
      <c r="L164" s="217"/>
    </row>
    <row r="165" spans="1:16" ht="15" customHeight="1" x14ac:dyDescent="0.25">
      <c r="A165" s="1232" t="str">
        <f>head27a</f>
        <v>References</v>
      </c>
      <c r="B165" s="1038"/>
      <c r="C165" s="1042"/>
      <c r="D165" s="1042"/>
      <c r="E165" s="1042"/>
      <c r="F165" s="1042"/>
      <c r="G165" s="1042"/>
      <c r="H165" s="1042"/>
      <c r="I165" s="1042"/>
      <c r="J165" s="1042"/>
      <c r="K165" s="1042"/>
      <c r="L165" s="1042"/>
    </row>
    <row r="166" spans="1:16" ht="12" customHeight="1" x14ac:dyDescent="0.25">
      <c r="A166" s="1194" t="s">
        <v>769</v>
      </c>
      <c r="B166" s="1038"/>
      <c r="C166" s="1041"/>
      <c r="D166" s="1041"/>
      <c r="E166" s="1042"/>
      <c r="F166" s="1042"/>
      <c r="G166" s="1042"/>
      <c r="H166" s="1042"/>
      <c r="I166" s="1042"/>
      <c r="J166" s="1042"/>
      <c r="K166" s="1042"/>
      <c r="L166" s="1042"/>
    </row>
    <row r="167" spans="1:16" x14ac:dyDescent="0.25">
      <c r="A167" s="1194" t="s">
        <v>1070</v>
      </c>
      <c r="B167" s="1038"/>
      <c r="C167" s="1041"/>
      <c r="D167" s="1041"/>
      <c r="E167" s="1042"/>
      <c r="F167" s="1042"/>
      <c r="G167" s="1042"/>
      <c r="H167" s="1042"/>
      <c r="I167" s="1042"/>
      <c r="J167" s="1042"/>
      <c r="K167" s="1042"/>
      <c r="L167" s="1042"/>
    </row>
    <row r="168" spans="1:16" x14ac:dyDescent="0.25">
      <c r="A168" s="1194" t="s">
        <v>771</v>
      </c>
      <c r="B168" s="1038"/>
      <c r="C168" s="1041"/>
      <c r="D168" s="1041"/>
      <c r="E168" s="1042"/>
      <c r="F168" s="1042"/>
      <c r="G168" s="1042"/>
      <c r="H168" s="1042"/>
      <c r="I168" s="1042"/>
      <c r="J168" s="1042"/>
      <c r="K168" s="1042"/>
      <c r="L168" s="1042"/>
    </row>
    <row r="169" spans="1:16" ht="11.25" customHeight="1" x14ac:dyDescent="0.25">
      <c r="A169" s="1194" t="s">
        <v>770</v>
      </c>
      <c r="B169" s="1038"/>
      <c r="C169" s="1041"/>
      <c r="D169" s="1041"/>
      <c r="E169" s="1042"/>
      <c r="F169" s="1042"/>
      <c r="G169" s="1042"/>
      <c r="H169" s="1042"/>
      <c r="I169" s="1042"/>
      <c r="J169" s="1042"/>
      <c r="K169" s="1042"/>
      <c r="L169" s="1042"/>
    </row>
    <row r="170" spans="1:16" ht="11.25" customHeight="1" x14ac:dyDescent="0.25">
      <c r="A170" s="1194" t="s">
        <v>1282</v>
      </c>
      <c r="B170" s="1038"/>
      <c r="C170" s="1041"/>
      <c r="D170" s="1041"/>
      <c r="E170" s="1042"/>
      <c r="F170" s="1042"/>
      <c r="G170" s="1042"/>
      <c r="H170" s="1042"/>
      <c r="I170" s="1042"/>
      <c r="J170" s="1042"/>
      <c r="K170" s="1042"/>
      <c r="L170" s="1042"/>
    </row>
    <row r="171" spans="1:16" ht="11.25" customHeight="1" x14ac:dyDescent="0.25">
      <c r="A171" s="1194" t="s">
        <v>1687</v>
      </c>
      <c r="B171" s="1038"/>
      <c r="C171" s="1041"/>
      <c r="D171" s="1041"/>
      <c r="E171" s="1042"/>
      <c r="F171" s="1042"/>
      <c r="G171" s="1042"/>
      <c r="H171" s="1042"/>
      <c r="I171" s="1042"/>
      <c r="J171" s="1042"/>
      <c r="K171" s="1042"/>
      <c r="L171" s="1042"/>
    </row>
    <row r="172" spans="1:16" ht="11.25" customHeight="1" x14ac:dyDescent="0.25">
      <c r="A172" s="1194" t="s">
        <v>123</v>
      </c>
      <c r="B172" s="1038"/>
      <c r="C172" s="1041"/>
      <c r="D172" s="1041"/>
      <c r="E172" s="1042"/>
      <c r="F172" s="1042"/>
      <c r="G172" s="1042"/>
      <c r="H172" s="1042"/>
      <c r="I172" s="1042"/>
      <c r="J172" s="1042"/>
      <c r="K172" s="1042"/>
      <c r="L172" s="1042"/>
    </row>
    <row r="173" spans="1:16" ht="11.25" customHeight="1" x14ac:dyDescent="0.25">
      <c r="A173" s="1170" t="s">
        <v>1939</v>
      </c>
    </row>
    <row r="174" spans="1:16" ht="11.25" customHeight="1" x14ac:dyDescent="0.25">
      <c r="A174" s="149" t="s">
        <v>1940</v>
      </c>
    </row>
    <row r="175" spans="1:16" ht="11.25" customHeight="1" x14ac:dyDescent="0.25">
      <c r="A175" s="149" t="s">
        <v>2212</v>
      </c>
      <c r="B175" s="149"/>
    </row>
    <row r="176" spans="1:16" ht="11.25" customHeight="1" x14ac:dyDescent="0.25">
      <c r="B176" s="149"/>
    </row>
    <row r="177" spans="2:2" ht="11.25" customHeight="1" x14ac:dyDescent="0.25">
      <c r="B177" s="149"/>
    </row>
    <row r="178" spans="2:2" ht="11.25" customHeight="1" x14ac:dyDescent="0.25">
      <c r="B178" s="149"/>
    </row>
    <row r="179" spans="2:2" ht="11.25" customHeight="1" x14ac:dyDescent="0.25">
      <c r="B179" s="149"/>
    </row>
    <row r="180" spans="2:2" ht="11.25" customHeight="1" x14ac:dyDescent="0.25">
      <c r="B180" s="149"/>
    </row>
    <row r="181" spans="2:2" ht="11.25" customHeight="1" x14ac:dyDescent="0.25">
      <c r="B181" s="149"/>
    </row>
    <row r="182" spans="2:2" ht="11.25" customHeight="1" x14ac:dyDescent="0.25">
      <c r="B182" s="149"/>
    </row>
    <row r="183" spans="2:2" ht="11.25" customHeight="1" x14ac:dyDescent="0.25">
      <c r="B183" s="149"/>
    </row>
    <row r="184" spans="2:2" ht="11.25" customHeight="1" x14ac:dyDescent="0.25">
      <c r="B184" s="149"/>
    </row>
    <row r="185" spans="2:2" ht="11.25" customHeight="1" x14ac:dyDescent="0.25">
      <c r="B185" s="149"/>
    </row>
    <row r="186" spans="2:2" ht="11.25" customHeight="1" x14ac:dyDescent="0.25">
      <c r="B186" s="149"/>
    </row>
    <row r="187" spans="2:2" ht="11.25" customHeight="1" x14ac:dyDescent="0.25">
      <c r="B187" s="149"/>
    </row>
    <row r="188" spans="2:2" ht="11.25" customHeight="1" x14ac:dyDescent="0.25">
      <c r="B188" s="149"/>
    </row>
    <row r="189" spans="2:2" ht="11.25" customHeight="1" x14ac:dyDescent="0.25">
      <c r="B189" s="149"/>
    </row>
    <row r="190" spans="2:2" ht="11.25" customHeight="1" x14ac:dyDescent="0.25">
      <c r="B190" s="149"/>
    </row>
    <row r="191" spans="2:2" ht="11.25" customHeight="1" x14ac:dyDescent="0.25">
      <c r="B191" s="149"/>
    </row>
    <row r="192" spans="2:2" ht="11.25" customHeight="1" x14ac:dyDescent="0.25">
      <c r="B192" s="149"/>
    </row>
    <row r="193" spans="2:2" ht="11.25" customHeight="1" x14ac:dyDescent="0.25">
      <c r="B193" s="149"/>
    </row>
    <row r="194" spans="2:2" ht="11.25" customHeight="1" x14ac:dyDescent="0.25">
      <c r="B194" s="149"/>
    </row>
    <row r="195" spans="2:2" ht="11.25" customHeight="1" x14ac:dyDescent="0.25">
      <c r="B195" s="149"/>
    </row>
    <row r="196" spans="2:2" ht="11.25" customHeight="1" x14ac:dyDescent="0.25">
      <c r="B196" s="149"/>
    </row>
    <row r="197" spans="2:2" ht="11.25" customHeight="1" x14ac:dyDescent="0.25">
      <c r="B197" s="149"/>
    </row>
    <row r="198" spans="2:2" ht="11.25" customHeight="1" x14ac:dyDescent="0.25">
      <c r="B198" s="149"/>
    </row>
    <row r="199" spans="2:2" ht="11.25" customHeight="1" x14ac:dyDescent="0.25">
      <c r="B199" s="149"/>
    </row>
    <row r="200" spans="2:2" ht="11.25" customHeight="1" x14ac:dyDescent="0.25">
      <c r="B200" s="149"/>
    </row>
    <row r="201" spans="2:2" ht="11.25" customHeight="1" x14ac:dyDescent="0.25">
      <c r="B201" s="149"/>
    </row>
    <row r="202" spans="2:2" ht="11.25" customHeight="1" x14ac:dyDescent="0.25">
      <c r="B202" s="149"/>
    </row>
    <row r="203" spans="2:2" ht="11.25" customHeight="1" x14ac:dyDescent="0.25">
      <c r="B203" s="149"/>
    </row>
    <row r="204" spans="2:2" ht="11.25" customHeight="1" x14ac:dyDescent="0.25">
      <c r="B204" s="149"/>
    </row>
    <row r="205" spans="2:2" ht="11.25" customHeight="1" x14ac:dyDescent="0.25">
      <c r="B205" s="149"/>
    </row>
    <row r="206" spans="2:2" ht="11.25" customHeight="1" x14ac:dyDescent="0.25">
      <c r="B206" s="149"/>
    </row>
    <row r="207" spans="2:2" ht="11.25" customHeight="1" x14ac:dyDescent="0.25">
      <c r="B207" s="149"/>
    </row>
    <row r="208" spans="2:2" ht="11.25" customHeight="1" x14ac:dyDescent="0.25">
      <c r="B208" s="149"/>
    </row>
    <row r="209" spans="2:2" ht="11.25" customHeight="1" x14ac:dyDescent="0.25">
      <c r="B209" s="149"/>
    </row>
    <row r="210" spans="2:2" ht="11.25" customHeight="1" x14ac:dyDescent="0.25">
      <c r="B210" s="149"/>
    </row>
    <row r="211" spans="2:2" ht="11.25" customHeight="1" x14ac:dyDescent="0.25">
      <c r="B211" s="149"/>
    </row>
    <row r="212" spans="2:2" ht="11.25" customHeight="1" x14ac:dyDescent="0.25">
      <c r="B212" s="149"/>
    </row>
    <row r="213" spans="2:2" ht="11.25" customHeight="1" x14ac:dyDescent="0.25">
      <c r="B213" s="149"/>
    </row>
    <row r="214" spans="2:2" ht="11.25" customHeight="1" x14ac:dyDescent="0.25">
      <c r="B214" s="149"/>
    </row>
    <row r="215" spans="2:2" ht="11.25" customHeight="1" x14ac:dyDescent="0.25">
      <c r="B215" s="149"/>
    </row>
    <row r="216" spans="2:2" ht="11.25" customHeight="1" x14ac:dyDescent="0.25">
      <c r="B216" s="149"/>
    </row>
    <row r="217" spans="2:2" ht="11.25" customHeight="1" x14ac:dyDescent="0.25">
      <c r="B217" s="149"/>
    </row>
    <row r="218" spans="2:2" ht="11.25" customHeight="1" x14ac:dyDescent="0.25">
      <c r="B218" s="149"/>
    </row>
    <row r="219" spans="2:2" ht="11.25" customHeight="1" x14ac:dyDescent="0.25">
      <c r="B219" s="149"/>
    </row>
    <row r="220" spans="2:2" ht="11.25" customHeight="1" x14ac:dyDescent="0.25">
      <c r="B220" s="149"/>
    </row>
    <row r="221" spans="2:2" ht="11.25" customHeight="1" x14ac:dyDescent="0.25">
      <c r="B221" s="149"/>
    </row>
    <row r="222" spans="2:2" ht="11.25" customHeight="1" x14ac:dyDescent="0.25">
      <c r="B222" s="149"/>
    </row>
    <row r="223" spans="2:2" ht="11.25" customHeight="1" x14ac:dyDescent="0.25">
      <c r="B223" s="149"/>
    </row>
    <row r="224" spans="2:2" ht="11.25" customHeight="1" x14ac:dyDescent="0.25">
      <c r="B224" s="149"/>
    </row>
    <row r="225" spans="2:2" ht="11.25" customHeight="1" x14ac:dyDescent="0.25">
      <c r="B225" s="149"/>
    </row>
    <row r="226" spans="2:2" ht="11.25" customHeight="1" x14ac:dyDescent="0.25">
      <c r="B226" s="149"/>
    </row>
    <row r="227" spans="2:2" ht="11.25" customHeight="1" x14ac:dyDescent="0.25">
      <c r="B227" s="149"/>
    </row>
    <row r="228" spans="2:2" ht="11.25" customHeight="1" x14ac:dyDescent="0.25">
      <c r="B228" s="149"/>
    </row>
    <row r="229" spans="2:2" ht="11.25" customHeight="1" x14ac:dyDescent="0.25">
      <c r="B229" s="149"/>
    </row>
    <row r="230" spans="2:2" x14ac:dyDescent="0.25">
      <c r="B230" s="149"/>
    </row>
    <row r="231" spans="2:2" x14ac:dyDescent="0.25">
      <c r="B231" s="149"/>
    </row>
    <row r="232" spans="2:2" x14ac:dyDescent="0.25">
      <c r="B232" s="149"/>
    </row>
    <row r="233" spans="2:2" x14ac:dyDescent="0.25">
      <c r="B233" s="149"/>
    </row>
    <row r="234" spans="2:2" x14ac:dyDescent="0.25">
      <c r="B234" s="149"/>
    </row>
    <row r="235" spans="2:2" x14ac:dyDescent="0.25">
      <c r="B235" s="149"/>
    </row>
    <row r="236" spans="2:2" x14ac:dyDescent="0.25">
      <c r="B236" s="149"/>
    </row>
    <row r="237" spans="2:2" x14ac:dyDescent="0.25">
      <c r="B237" s="149"/>
    </row>
    <row r="238" spans="2:2" x14ac:dyDescent="0.25">
      <c r="B238" s="149"/>
    </row>
    <row r="239" spans="2:2" x14ac:dyDescent="0.25">
      <c r="B239" s="149"/>
    </row>
    <row r="240" spans="2:2" x14ac:dyDescent="0.25">
      <c r="B240" s="149"/>
    </row>
    <row r="241" spans="2:2" x14ac:dyDescent="0.25">
      <c r="B241" s="149"/>
    </row>
    <row r="242" spans="2:2" x14ac:dyDescent="0.25">
      <c r="B242" s="149"/>
    </row>
    <row r="243" spans="2:2" x14ac:dyDescent="0.25">
      <c r="B243" s="149"/>
    </row>
    <row r="244" spans="2:2" x14ac:dyDescent="0.25">
      <c r="B244" s="149"/>
    </row>
    <row r="245" spans="2:2" x14ac:dyDescent="0.25">
      <c r="B245" s="149"/>
    </row>
    <row r="246" spans="2:2" x14ac:dyDescent="0.25">
      <c r="B246" s="149"/>
    </row>
    <row r="247" spans="2:2" x14ac:dyDescent="0.25">
      <c r="B247" s="149"/>
    </row>
    <row r="248" spans="2:2" x14ac:dyDescent="0.25">
      <c r="B248" s="149"/>
    </row>
    <row r="249" spans="2:2" x14ac:dyDescent="0.25">
      <c r="B249" s="149"/>
    </row>
    <row r="250" spans="2:2" x14ac:dyDescent="0.25">
      <c r="B250" s="149"/>
    </row>
    <row r="251" spans="2:2" x14ac:dyDescent="0.25">
      <c r="B251" s="149"/>
    </row>
    <row r="252" spans="2:2" x14ac:dyDescent="0.25">
      <c r="B252" s="149"/>
    </row>
    <row r="253" spans="2:2" x14ac:dyDescent="0.25">
      <c r="B253" s="149"/>
    </row>
    <row r="254" spans="2:2" x14ac:dyDescent="0.25">
      <c r="B254" s="149"/>
    </row>
    <row r="255" spans="2:2" x14ac:dyDescent="0.25">
      <c r="B255" s="149"/>
    </row>
    <row r="256" spans="2:2" x14ac:dyDescent="0.25">
      <c r="B256" s="149"/>
    </row>
    <row r="257" spans="2:2" x14ac:dyDescent="0.25">
      <c r="B257" s="149"/>
    </row>
    <row r="258" spans="2:2" x14ac:dyDescent="0.25">
      <c r="B258" s="149"/>
    </row>
    <row r="259" spans="2:2" x14ac:dyDescent="0.25">
      <c r="B259" s="149"/>
    </row>
    <row r="260" spans="2:2" x14ac:dyDescent="0.25">
      <c r="B260" s="149"/>
    </row>
    <row r="261" spans="2:2" x14ac:dyDescent="0.25">
      <c r="B261" s="149"/>
    </row>
    <row r="262" spans="2:2" x14ac:dyDescent="0.25">
      <c r="B262" s="149"/>
    </row>
    <row r="263" spans="2:2" x14ac:dyDescent="0.25">
      <c r="B263" s="149"/>
    </row>
    <row r="264" spans="2:2" x14ac:dyDescent="0.25">
      <c r="B264" s="149"/>
    </row>
    <row r="265" spans="2:2" x14ac:dyDescent="0.25">
      <c r="B265" s="149"/>
    </row>
    <row r="266" spans="2:2" x14ac:dyDescent="0.25">
      <c r="B266" s="149"/>
    </row>
    <row r="267" spans="2:2" x14ac:dyDescent="0.25">
      <c r="B267" s="149"/>
    </row>
    <row r="268" spans="2:2" x14ac:dyDescent="0.25">
      <c r="B268" s="149"/>
    </row>
    <row r="269" spans="2:2" x14ac:dyDescent="0.25">
      <c r="B269" s="149"/>
    </row>
    <row r="270" spans="2:2" x14ac:dyDescent="0.25">
      <c r="B270" s="149"/>
    </row>
    <row r="271" spans="2:2" x14ac:dyDescent="0.25">
      <c r="B271" s="149"/>
    </row>
    <row r="272" spans="2:2" x14ac:dyDescent="0.25">
      <c r="B272" s="149"/>
    </row>
    <row r="273" spans="2:2" x14ac:dyDescent="0.25">
      <c r="B273" s="149"/>
    </row>
    <row r="274" spans="2:2" x14ac:dyDescent="0.25">
      <c r="B274" s="149"/>
    </row>
    <row r="275" spans="2:2" x14ac:dyDescent="0.25">
      <c r="B275" s="149"/>
    </row>
  </sheetData>
  <sheetProtection password="C646" sheet="1" objects="1" scenarios="1"/>
  <mergeCells count="4">
    <mergeCell ref="J2:L2"/>
    <mergeCell ref="F2:I2"/>
    <mergeCell ref="A2:A3"/>
    <mergeCell ref="B2:B3"/>
  </mergeCells>
  <phoneticPr fontId="2" type="noConversion"/>
  <dataValidations count="1">
    <dataValidation type="decimal" allowBlank="1" showInputMessage="1" showErrorMessage="1" sqref="C7:L8 C12:L13 C17:L18 C22:L23 C27:L29 C33:L44 C49:L60 C62:L62 C66:L71 C75:L78 C82:L83 C92:L116 C119:L122 C126:L152 C156:L159 C87:L88">
      <formula1>-999999999999999</formula1>
      <formula2>99999999999999</formula2>
    </dataValidation>
  </dataValidations>
  <printOptions horizontalCentered="1"/>
  <pageMargins left="0" right="0" top="0.78740157480314965" bottom="0.59055118110236227" header="0.51181102362204722" footer="0.39370078740157483"/>
  <pageSetup paperSize="9" scale="37"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tabColor indexed="42"/>
    <pageSetUpPr fitToPage="1"/>
  </sheetPr>
  <dimension ref="A1:U83"/>
  <sheetViews>
    <sheetView showGridLines="0" zoomScaleNormal="100" workbookViewId="0">
      <pane xSplit="2" ySplit="3" topLeftCell="K40" activePane="bottomRight" state="frozen"/>
      <selection pane="topRight"/>
      <selection pane="bottomLeft"/>
      <selection pane="bottomRight" activeCell="R52" sqref="R52"/>
    </sheetView>
  </sheetViews>
  <sheetFormatPr defaultColWidth="9.1796875" defaultRowHeight="10.5" x14ac:dyDescent="0.25"/>
  <cols>
    <col min="1" max="1" width="30.7265625" style="149" customWidth="1"/>
    <col min="2" max="2" width="3" style="247" customWidth="1"/>
    <col min="3" max="18" width="9.26953125" style="149" customWidth="1"/>
    <col min="19" max="20" width="9.1796875" style="149"/>
    <col min="21" max="21" width="9.81640625" style="149" customWidth="1"/>
    <col min="22" max="22" width="9.54296875" style="149" customWidth="1"/>
    <col min="23" max="23" width="9.81640625" style="149" customWidth="1"/>
    <col min="24" max="26" width="9.54296875" style="149" customWidth="1"/>
    <col min="27" max="27" width="9.81640625" style="149" customWidth="1"/>
    <col min="28" max="30" width="9.54296875" style="149" customWidth="1"/>
    <col min="31" max="32" width="9.81640625" style="149" customWidth="1"/>
    <col min="33" max="16384" width="9.1796875" style="149"/>
  </cols>
  <sheetData>
    <row r="1" spans="1:19" s="179" customFormat="1" ht="13" x14ac:dyDescent="0.3">
      <c r="A1" s="147" t="str">
        <f>muni&amp;" - "&amp;TableA2</f>
        <v>KZN225 Msunduzi - Supporting Table SA2 Consolidated Matrix Financial Performance Budget (revenue source/expenditure type &amp; dept.)</v>
      </c>
      <c r="B1" s="147"/>
      <c r="C1" s="147"/>
      <c r="D1" s="147"/>
      <c r="E1" s="147"/>
      <c r="F1" s="147"/>
      <c r="G1" s="147"/>
      <c r="H1" s="147"/>
      <c r="I1" s="147"/>
      <c r="J1" s="147"/>
      <c r="K1" s="147"/>
      <c r="L1" s="147"/>
      <c r="M1" s="147"/>
      <c r="N1" s="147"/>
      <c r="O1" s="147"/>
      <c r="P1" s="147"/>
      <c r="Q1" s="147"/>
      <c r="R1" s="147"/>
    </row>
    <row r="2" spans="1:19" s="370" customFormat="1" ht="43.5" customHeight="1" x14ac:dyDescent="0.25">
      <c r="A2" s="142" t="str">
        <f>desc</f>
        <v>Description</v>
      </c>
      <c r="B2" s="419" t="str">
        <f>head27</f>
        <v>Ref</v>
      </c>
      <c r="C2" s="2705" t="str">
        <f>'A3-FinPerf V'!A5</f>
        <v xml:space="preserve">Vote 1 - Corporate Services </v>
      </c>
      <c r="D2" s="2705" t="str">
        <f>'A3-FinPerf V'!A6</f>
        <v>Vote 2 - Financial Management Area</v>
      </c>
      <c r="E2" s="2705" t="str">
        <f>'A3-FinPerf V'!A7</f>
        <v>Vote 3 - Infrastructure Development, Service Delivery and Maintenance Management</v>
      </c>
      <c r="F2" s="2705" t="str">
        <f>'A3-FinPerf V'!A8</f>
        <v>Vote 4 - Sustainable Community Service Delivery Provision Management</v>
      </c>
      <c r="G2" s="2705" t="str">
        <f>'A3-FinPerf V'!A9</f>
        <v>Vote 5 - [NAME OF VOTE 5]</v>
      </c>
      <c r="H2" s="2705" t="str">
        <f>'A3-FinPerf V'!A10</f>
        <v>Vote 6 - [NAME OF VOTE 6]</v>
      </c>
      <c r="I2" s="2705" t="str">
        <f>'A3-FinPerf V'!A11</f>
        <v>Vote 7 - [NAME OF VOTE 7]</v>
      </c>
      <c r="J2" s="2705" t="str">
        <f>'A3-FinPerf V'!A12</f>
        <v>Vote 8 - [NAME OF VOTE 8]</v>
      </c>
      <c r="K2" s="2705" t="str">
        <f>'A3-FinPerf V'!A13</f>
        <v>Vote 9 - [NAME OF VOTE 9]</v>
      </c>
      <c r="L2" s="2705" t="str">
        <f>'A3-FinPerf V'!A14</f>
        <v>Vote 10 - [NAME OF VOTE 10]</v>
      </c>
      <c r="M2" s="2705" t="str">
        <f>'A3-FinPerf V'!A15</f>
        <v>Vote 11 - [NAME OF VOTE 11]</v>
      </c>
      <c r="N2" s="2705" t="str">
        <f>'A3-FinPerf V'!A16</f>
        <v>Vote 12 - [NAME OF VOTE 12]</v>
      </c>
      <c r="O2" s="2705" t="str">
        <f>'A3-FinPerf V'!A17</f>
        <v>Vote 13 - [NAME OF VOTE 13]</v>
      </c>
      <c r="P2" s="2705" t="str">
        <f>'A3-FinPerf V'!A18</f>
        <v>Vote 14 - [NAME OF VOTE 14]</v>
      </c>
      <c r="Q2" s="2705" t="str">
        <f>'A3-FinPerf V'!A19</f>
        <v>Vote 15 - [NAME OF VOTE 15]</v>
      </c>
      <c r="R2" s="2707" t="s">
        <v>774</v>
      </c>
      <c r="S2" s="1555"/>
    </row>
    <row r="3" spans="1:19" x14ac:dyDescent="0.25">
      <c r="A3" s="180" t="s">
        <v>665</v>
      </c>
      <c r="B3" s="290">
        <v>1</v>
      </c>
      <c r="C3" s="2706" t="s">
        <v>1016</v>
      </c>
      <c r="D3" s="2706" t="s">
        <v>1016</v>
      </c>
      <c r="E3" s="2706" t="s">
        <v>1016</v>
      </c>
      <c r="F3" s="2706" t="s">
        <v>1016</v>
      </c>
      <c r="G3" s="2706" t="s">
        <v>1016</v>
      </c>
      <c r="H3" s="2706" t="s">
        <v>1016</v>
      </c>
      <c r="I3" s="2706"/>
      <c r="J3" s="2706"/>
      <c r="K3" s="2706"/>
      <c r="L3" s="2706"/>
      <c r="M3" s="2706"/>
      <c r="N3" s="2706"/>
      <c r="O3" s="2706"/>
      <c r="P3" s="2706"/>
      <c r="Q3" s="2706" t="s">
        <v>1016</v>
      </c>
      <c r="R3" s="2708" t="s">
        <v>1016</v>
      </c>
    </row>
    <row r="4" spans="1:19" ht="11.25" customHeight="1" x14ac:dyDescent="0.25">
      <c r="A4" s="181" t="str">
        <f>'A4-FinPerf RE'!A4</f>
        <v>Revenue By Source</v>
      </c>
      <c r="B4" s="293"/>
      <c r="C4" s="311"/>
      <c r="D4" s="311"/>
      <c r="E4" s="311"/>
      <c r="F4" s="311"/>
      <c r="G4" s="311"/>
      <c r="H4" s="311"/>
      <c r="I4" s="311"/>
      <c r="J4" s="311"/>
      <c r="K4" s="311"/>
      <c r="L4" s="311"/>
      <c r="M4" s="311"/>
      <c r="N4" s="311"/>
      <c r="O4" s="311"/>
      <c r="P4" s="311"/>
      <c r="Q4" s="311"/>
      <c r="R4" s="420"/>
    </row>
    <row r="5" spans="1:19" ht="11.25" customHeight="1" x14ac:dyDescent="0.25">
      <c r="A5" s="325" t="str">
        <f>'A4-FinPerf RE'!A5</f>
        <v>Property rates</v>
      </c>
      <c r="B5" s="294"/>
      <c r="C5" s="1614">
        <v>0</v>
      </c>
      <c r="D5" s="1614">
        <v>608104000</v>
      </c>
      <c r="E5" s="1614">
        <v>0</v>
      </c>
      <c r="F5" s="1614">
        <v>0</v>
      </c>
      <c r="G5" s="1614">
        <v>0</v>
      </c>
      <c r="H5" s="1614">
        <v>0</v>
      </c>
      <c r="I5" s="1614">
        <v>0</v>
      </c>
      <c r="J5" s="1614">
        <v>0</v>
      </c>
      <c r="K5" s="1614">
        <v>0</v>
      </c>
      <c r="L5" s="1614">
        <v>0</v>
      </c>
      <c r="M5" s="1614">
        <v>0</v>
      </c>
      <c r="N5" s="1614">
        <v>0</v>
      </c>
      <c r="O5" s="1614">
        <v>0</v>
      </c>
      <c r="P5" s="1614">
        <v>0</v>
      </c>
      <c r="Q5" s="1614">
        <v>0</v>
      </c>
      <c r="R5" s="421">
        <f>SUM(C5:Q5)</f>
        <v>608104000</v>
      </c>
    </row>
    <row r="6" spans="1:19" ht="11.25" customHeight="1" x14ac:dyDescent="0.25">
      <c r="A6" s="325" t="str">
        <f>'A4-FinPerf RE'!A6</f>
        <v>Property rates - penalties &amp; collection charges</v>
      </c>
      <c r="B6" s="294"/>
      <c r="C6" s="1614">
        <v>0</v>
      </c>
      <c r="D6" s="1614">
        <v>37363000</v>
      </c>
      <c r="E6" s="1614"/>
      <c r="F6" s="1614"/>
      <c r="G6" s="1614"/>
      <c r="H6" s="1614"/>
      <c r="I6" s="1614"/>
      <c r="J6" s="1614"/>
      <c r="K6" s="1614"/>
      <c r="L6" s="1614"/>
      <c r="M6" s="1614"/>
      <c r="N6" s="1614"/>
      <c r="O6" s="1614"/>
      <c r="P6" s="1614"/>
      <c r="Q6" s="1614"/>
      <c r="R6" s="421">
        <f t="shared" ref="R6:R21" si="0">SUM(C6:Q6)</f>
        <v>37363000</v>
      </c>
    </row>
    <row r="7" spans="1:19" ht="11.25" customHeight="1" x14ac:dyDescent="0.25">
      <c r="A7" s="325" t="str">
        <f>'A4-FinPerf RE'!A7</f>
        <v>Service charges - electricity revenue</v>
      </c>
      <c r="B7" s="294"/>
      <c r="C7" s="1614">
        <v>0</v>
      </c>
      <c r="D7" s="1614">
        <v>0</v>
      </c>
      <c r="E7" s="1614">
        <v>1558827000</v>
      </c>
      <c r="F7" s="1614"/>
      <c r="G7" s="1614"/>
      <c r="H7" s="1614"/>
      <c r="I7" s="1614"/>
      <c r="J7" s="1614"/>
      <c r="K7" s="1614"/>
      <c r="L7" s="1614"/>
      <c r="M7" s="1614"/>
      <c r="N7" s="1614"/>
      <c r="O7" s="1614"/>
      <c r="P7" s="1614"/>
      <c r="Q7" s="1614"/>
      <c r="R7" s="421">
        <f t="shared" si="0"/>
        <v>1558827000</v>
      </c>
    </row>
    <row r="8" spans="1:19" ht="11.25" customHeight="1" x14ac:dyDescent="0.25">
      <c r="A8" s="325" t="str">
        <f>'A4-FinPerf RE'!A8</f>
        <v>Service charges - water revenue</v>
      </c>
      <c r="B8" s="294"/>
      <c r="C8" s="1614">
        <v>0</v>
      </c>
      <c r="D8" s="1614">
        <v>0</v>
      </c>
      <c r="E8" s="1614">
        <v>373500000</v>
      </c>
      <c r="F8" s="1614"/>
      <c r="G8" s="1614"/>
      <c r="H8" s="1614"/>
      <c r="I8" s="1614"/>
      <c r="J8" s="1614"/>
      <c r="K8" s="1614"/>
      <c r="L8" s="1614"/>
      <c r="M8" s="1614"/>
      <c r="N8" s="1614"/>
      <c r="O8" s="1614"/>
      <c r="P8" s="1614"/>
      <c r="Q8" s="1614"/>
      <c r="R8" s="421">
        <f t="shared" si="0"/>
        <v>373500000</v>
      </c>
    </row>
    <row r="9" spans="1:19" ht="11.25" customHeight="1" x14ac:dyDescent="0.25">
      <c r="A9" s="325" t="str">
        <f>'A4-FinPerf RE'!A9</f>
        <v>Service charges - sanitation revenue</v>
      </c>
      <c r="B9" s="294"/>
      <c r="C9" s="1614">
        <v>0</v>
      </c>
      <c r="D9" s="1614">
        <v>0</v>
      </c>
      <c r="E9" s="1614">
        <v>132153000</v>
      </c>
      <c r="F9" s="1614"/>
      <c r="G9" s="1614"/>
      <c r="H9" s="1614"/>
      <c r="I9" s="1614"/>
      <c r="J9" s="1614"/>
      <c r="K9" s="1614"/>
      <c r="L9" s="1614"/>
      <c r="M9" s="1614"/>
      <c r="N9" s="1614"/>
      <c r="O9" s="1614"/>
      <c r="P9" s="1614"/>
      <c r="Q9" s="1614"/>
      <c r="R9" s="421">
        <f t="shared" si="0"/>
        <v>132153000</v>
      </c>
    </row>
    <row r="10" spans="1:19" ht="11.25" customHeight="1" x14ac:dyDescent="0.25">
      <c r="A10" s="325" t="str">
        <f>'A4-FinPerf RE'!A10</f>
        <v>Service charges - refuse revenue</v>
      </c>
      <c r="B10" s="294"/>
      <c r="C10" s="1614"/>
      <c r="D10" s="1614">
        <v>0</v>
      </c>
      <c r="E10" s="1614">
        <v>77592000</v>
      </c>
      <c r="F10" s="1614"/>
      <c r="G10" s="1614"/>
      <c r="H10" s="1614"/>
      <c r="I10" s="1614"/>
      <c r="J10" s="1614"/>
      <c r="K10" s="1614"/>
      <c r="L10" s="1614"/>
      <c r="M10" s="1614"/>
      <c r="N10" s="1614"/>
      <c r="O10" s="1614"/>
      <c r="P10" s="1614"/>
      <c r="Q10" s="1614"/>
      <c r="R10" s="421">
        <f t="shared" si="0"/>
        <v>77592000</v>
      </c>
    </row>
    <row r="11" spans="1:19" ht="11.25" customHeight="1" x14ac:dyDescent="0.25">
      <c r="A11" s="325" t="str">
        <f>'A4-FinPerf RE'!A11</f>
        <v>Service charges - other</v>
      </c>
      <c r="B11" s="294"/>
      <c r="C11" s="1614"/>
      <c r="D11" s="1614">
        <v>0</v>
      </c>
      <c r="E11" s="1614"/>
      <c r="F11" s="1614"/>
      <c r="G11" s="1614"/>
      <c r="H11" s="1614"/>
      <c r="I11" s="1614"/>
      <c r="J11" s="1614"/>
      <c r="K11" s="1614"/>
      <c r="L11" s="1614"/>
      <c r="M11" s="1614"/>
      <c r="N11" s="1614"/>
      <c r="O11" s="1614"/>
      <c r="P11" s="1614"/>
      <c r="Q11" s="1614"/>
      <c r="R11" s="421">
        <f t="shared" si="0"/>
        <v>0</v>
      </c>
    </row>
    <row r="12" spans="1:19" ht="11.25" customHeight="1" x14ac:dyDescent="0.25">
      <c r="A12" s="325" t="str">
        <f>'A4-FinPerf RE'!A12</f>
        <v>Rental of facilities and equipment</v>
      </c>
      <c r="B12" s="294"/>
      <c r="C12" s="1614"/>
      <c r="D12" s="1614">
        <v>26343000</v>
      </c>
      <c r="E12" s="1614"/>
      <c r="F12" s="1614"/>
      <c r="G12" s="1614"/>
      <c r="H12" s="1614"/>
      <c r="I12" s="1614"/>
      <c r="J12" s="1614"/>
      <c r="K12" s="1614"/>
      <c r="L12" s="1614"/>
      <c r="M12" s="1614"/>
      <c r="N12" s="1614"/>
      <c r="O12" s="1614"/>
      <c r="P12" s="1614"/>
      <c r="Q12" s="1614"/>
      <c r="R12" s="421">
        <f t="shared" si="0"/>
        <v>26343000</v>
      </c>
    </row>
    <row r="13" spans="1:19" ht="11.25" customHeight="1" x14ac:dyDescent="0.25">
      <c r="A13" s="325" t="str">
        <f>'A4-FinPerf RE'!A13</f>
        <v>Interest earned - external investments</v>
      </c>
      <c r="B13" s="294"/>
      <c r="C13" s="1614"/>
      <c r="D13" s="1634">
        <v>18941000</v>
      </c>
      <c r="E13" s="1614"/>
      <c r="F13" s="1614"/>
      <c r="G13" s="1614"/>
      <c r="H13" s="1614"/>
      <c r="I13" s="1614"/>
      <c r="J13" s="1614"/>
      <c r="K13" s="1614"/>
      <c r="L13" s="1614"/>
      <c r="M13" s="1614"/>
      <c r="N13" s="1614"/>
      <c r="O13" s="1614"/>
      <c r="P13" s="1614"/>
      <c r="Q13" s="1614"/>
      <c r="R13" s="421">
        <f t="shared" si="0"/>
        <v>18941000</v>
      </c>
    </row>
    <row r="14" spans="1:19" ht="11.25" customHeight="1" x14ac:dyDescent="0.25">
      <c r="A14" s="325" t="str">
        <f>'A4-FinPerf RE'!A14</f>
        <v>Interest earned - outstanding debtors</v>
      </c>
      <c r="B14" s="294"/>
      <c r="C14" s="1614"/>
      <c r="D14" s="1634">
        <v>1255000</v>
      </c>
      <c r="E14" s="1614"/>
      <c r="F14" s="1614"/>
      <c r="G14" s="1614"/>
      <c r="H14" s="1614"/>
      <c r="I14" s="1614"/>
      <c r="J14" s="1614"/>
      <c r="K14" s="1614"/>
      <c r="L14" s="1614"/>
      <c r="M14" s="1614"/>
      <c r="N14" s="1614"/>
      <c r="O14" s="1614"/>
      <c r="P14" s="1614"/>
      <c r="Q14" s="1614"/>
      <c r="R14" s="421">
        <f t="shared" si="0"/>
        <v>1255000</v>
      </c>
    </row>
    <row r="15" spans="1:19" ht="11.25" customHeight="1" x14ac:dyDescent="0.25">
      <c r="A15" s="325" t="str">
        <f>'A4-FinPerf RE'!A15</f>
        <v>Dividends received</v>
      </c>
      <c r="B15" s="294"/>
      <c r="C15" s="1614"/>
      <c r="D15" s="1614">
        <v>0</v>
      </c>
      <c r="E15" s="1614"/>
      <c r="F15" s="1614"/>
      <c r="G15" s="1614"/>
      <c r="H15" s="1614"/>
      <c r="I15" s="1614"/>
      <c r="J15" s="1614"/>
      <c r="K15" s="1614"/>
      <c r="L15" s="1614"/>
      <c r="M15" s="1614"/>
      <c r="N15" s="1614"/>
      <c r="O15" s="1614"/>
      <c r="P15" s="1614"/>
      <c r="Q15" s="1614"/>
      <c r="R15" s="421">
        <f t="shared" si="0"/>
        <v>0</v>
      </c>
    </row>
    <row r="16" spans="1:19" ht="11.25" customHeight="1" x14ac:dyDescent="0.25">
      <c r="A16" s="325" t="str">
        <f>'A4-FinPerf RE'!A16</f>
        <v>Fines</v>
      </c>
      <c r="B16" s="294"/>
      <c r="C16" s="1614"/>
      <c r="D16" s="1614">
        <v>5634000</v>
      </c>
      <c r="E16" s="1614"/>
      <c r="F16" s="1614"/>
      <c r="G16" s="1614"/>
      <c r="H16" s="1614"/>
      <c r="I16" s="1614"/>
      <c r="J16" s="1614"/>
      <c r="K16" s="1614"/>
      <c r="L16" s="1614"/>
      <c r="M16" s="1614"/>
      <c r="N16" s="1614"/>
      <c r="O16" s="1614"/>
      <c r="P16" s="1614"/>
      <c r="Q16" s="1614"/>
      <c r="R16" s="421">
        <f t="shared" si="0"/>
        <v>5634000</v>
      </c>
    </row>
    <row r="17" spans="1:18" ht="11.25" customHeight="1" x14ac:dyDescent="0.25">
      <c r="A17" s="325" t="str">
        <f>'A4-FinPerf RE'!A17</f>
        <v>Licences and permits</v>
      </c>
      <c r="B17" s="294"/>
      <c r="C17" s="1614"/>
      <c r="D17" s="1614">
        <v>48000</v>
      </c>
      <c r="E17" s="1614"/>
      <c r="F17" s="1614"/>
      <c r="G17" s="1614"/>
      <c r="H17" s="1614"/>
      <c r="I17" s="1614"/>
      <c r="J17" s="1614"/>
      <c r="K17" s="1614"/>
      <c r="L17" s="1614"/>
      <c r="M17" s="1614"/>
      <c r="N17" s="1614"/>
      <c r="O17" s="1614"/>
      <c r="P17" s="1614"/>
      <c r="Q17" s="1614"/>
      <c r="R17" s="421">
        <f t="shared" si="0"/>
        <v>48000</v>
      </c>
    </row>
    <row r="18" spans="1:18" ht="11.25" customHeight="1" x14ac:dyDescent="0.25">
      <c r="A18" s="325" t="str">
        <f>'A4-FinPerf RE'!A18</f>
        <v>Agency services</v>
      </c>
      <c r="B18" s="294"/>
      <c r="C18" s="1614"/>
      <c r="D18" s="1614">
        <v>586000</v>
      </c>
      <c r="E18" s="1614"/>
      <c r="F18" s="1614"/>
      <c r="G18" s="1614"/>
      <c r="H18" s="1614"/>
      <c r="I18" s="1614"/>
      <c r="J18" s="1614"/>
      <c r="K18" s="1614"/>
      <c r="L18" s="1614"/>
      <c r="M18" s="1614"/>
      <c r="N18" s="1614"/>
      <c r="O18" s="1614"/>
      <c r="P18" s="1614"/>
      <c r="Q18" s="1614"/>
      <c r="R18" s="421">
        <f t="shared" si="0"/>
        <v>586000</v>
      </c>
    </row>
    <row r="19" spans="1:18" ht="11.25" customHeight="1" x14ac:dyDescent="0.25">
      <c r="A19" s="190" t="str">
        <f>'A4-FinPerf RE'!A20</f>
        <v>Other revenue</v>
      </c>
      <c r="B19" s="293"/>
      <c r="C19" s="1614"/>
      <c r="D19" s="1614">
        <v>48011000</v>
      </c>
      <c r="E19" s="1614">
        <v>0</v>
      </c>
      <c r="F19" s="1614"/>
      <c r="G19" s="1614"/>
      <c r="H19" s="1614"/>
      <c r="I19" s="1614"/>
      <c r="J19" s="1614"/>
      <c r="K19" s="1614"/>
      <c r="L19" s="1614"/>
      <c r="M19" s="1614"/>
      <c r="N19" s="1614"/>
      <c r="O19" s="1614"/>
      <c r="P19" s="1614"/>
      <c r="Q19" s="1614"/>
      <c r="R19" s="421">
        <f t="shared" si="0"/>
        <v>48011000</v>
      </c>
    </row>
    <row r="20" spans="1:18" ht="11.25" customHeight="1" x14ac:dyDescent="0.25">
      <c r="A20" s="325" t="str">
        <f>'A4-FinPerf RE'!A19</f>
        <v>Transfers recognised - operational</v>
      </c>
      <c r="B20" s="294"/>
      <c r="C20" s="1614">
        <v>0</v>
      </c>
      <c r="D20" s="1614">
        <v>652059000</v>
      </c>
      <c r="E20" s="1614">
        <v>0</v>
      </c>
      <c r="F20" s="1614"/>
      <c r="G20" s="1614"/>
      <c r="H20" s="1614"/>
      <c r="I20" s="1614"/>
      <c r="J20" s="1614"/>
      <c r="K20" s="1614"/>
      <c r="L20" s="1614"/>
      <c r="M20" s="1614"/>
      <c r="N20" s="1614"/>
      <c r="O20" s="1614"/>
      <c r="P20" s="1614"/>
      <c r="Q20" s="1614"/>
      <c r="R20" s="421">
        <f t="shared" si="0"/>
        <v>652059000</v>
      </c>
    </row>
    <row r="21" spans="1:18" ht="11.25" customHeight="1" x14ac:dyDescent="0.25">
      <c r="A21" s="190" t="str">
        <f>'A4-FinPerf RE'!A21</f>
        <v>Gains on disposal of PPE</v>
      </c>
      <c r="B21" s="293"/>
      <c r="C21" s="1614">
        <v>0</v>
      </c>
      <c r="D21" s="1614">
        <v>0</v>
      </c>
      <c r="E21" s="1614">
        <v>0</v>
      </c>
      <c r="F21" s="1614">
        <v>0</v>
      </c>
      <c r="G21" s="1614"/>
      <c r="H21" s="1614"/>
      <c r="I21" s="1614"/>
      <c r="J21" s="1614"/>
      <c r="K21" s="1614"/>
      <c r="L21" s="1614"/>
      <c r="M21" s="1614"/>
      <c r="N21" s="1614"/>
      <c r="O21" s="1614"/>
      <c r="P21" s="1614"/>
      <c r="Q21" s="1614"/>
      <c r="R21" s="421">
        <f t="shared" si="0"/>
        <v>0</v>
      </c>
    </row>
    <row r="22" spans="1:18" ht="11.25" customHeight="1" x14ac:dyDescent="0.25">
      <c r="A22" s="326" t="str">
        <f>'A4-FinPerf RE'!A22</f>
        <v>Total Revenue (excluding capital transfers and contributions)</v>
      </c>
      <c r="B22" s="293"/>
      <c r="C22" s="213">
        <f t="shared" ref="C22:R22" si="1">SUM(C5:C21)</f>
        <v>0</v>
      </c>
      <c r="D22" s="213">
        <f t="shared" si="1"/>
        <v>1398344000</v>
      </c>
      <c r="E22" s="213">
        <f t="shared" si="1"/>
        <v>2142072000</v>
      </c>
      <c r="F22" s="213">
        <f t="shared" si="1"/>
        <v>0</v>
      </c>
      <c r="G22" s="213">
        <f t="shared" si="1"/>
        <v>0</v>
      </c>
      <c r="H22" s="213">
        <f t="shared" si="1"/>
        <v>0</v>
      </c>
      <c r="I22" s="213">
        <f t="shared" si="1"/>
        <v>0</v>
      </c>
      <c r="J22" s="213">
        <f t="shared" si="1"/>
        <v>0</v>
      </c>
      <c r="K22" s="213">
        <f t="shared" si="1"/>
        <v>0</v>
      </c>
      <c r="L22" s="213">
        <f t="shared" si="1"/>
        <v>0</v>
      </c>
      <c r="M22" s="213">
        <f t="shared" si="1"/>
        <v>0</v>
      </c>
      <c r="N22" s="213">
        <f t="shared" si="1"/>
        <v>0</v>
      </c>
      <c r="O22" s="213">
        <f t="shared" si="1"/>
        <v>0</v>
      </c>
      <c r="P22" s="213">
        <f t="shared" si="1"/>
        <v>0</v>
      </c>
      <c r="Q22" s="213">
        <f t="shared" si="1"/>
        <v>0</v>
      </c>
      <c r="R22" s="422">
        <f t="shared" si="1"/>
        <v>3540416000</v>
      </c>
    </row>
    <row r="23" spans="1:18" ht="5.15" customHeight="1" x14ac:dyDescent="0.25">
      <c r="A23" s="201"/>
      <c r="B23" s="293"/>
      <c r="C23" s="203"/>
      <c r="D23" s="203"/>
      <c r="E23" s="203"/>
      <c r="F23" s="203"/>
      <c r="G23" s="203"/>
      <c r="H23" s="203"/>
      <c r="I23" s="203"/>
      <c r="J23" s="203"/>
      <c r="K23" s="203"/>
      <c r="L23" s="203"/>
      <c r="M23" s="203"/>
      <c r="N23" s="203"/>
      <c r="O23" s="203"/>
      <c r="P23" s="203"/>
      <c r="Q23" s="203"/>
      <c r="R23" s="421"/>
    </row>
    <row r="24" spans="1:18" ht="11.25" customHeight="1" x14ac:dyDescent="0.25">
      <c r="A24" s="181" t="str">
        <f>'A4-FinPerf RE'!A24</f>
        <v>Expenditure By Type</v>
      </c>
      <c r="B24" s="295"/>
      <c r="C24" s="203"/>
      <c r="D24" s="203"/>
      <c r="E24" s="203"/>
      <c r="F24" s="203"/>
      <c r="G24" s="203"/>
      <c r="H24" s="203"/>
      <c r="I24" s="203"/>
      <c r="J24" s="203"/>
      <c r="K24" s="203"/>
      <c r="L24" s="203"/>
      <c r="M24" s="203"/>
      <c r="N24" s="203"/>
      <c r="O24" s="203"/>
      <c r="P24" s="203"/>
      <c r="Q24" s="203"/>
      <c r="R24" s="421"/>
    </row>
    <row r="25" spans="1:18" ht="11.25" customHeight="1" x14ac:dyDescent="0.25">
      <c r="A25" s="325" t="str">
        <f>'A4-FinPerf RE'!A25</f>
        <v>Employee related costs</v>
      </c>
      <c r="B25" s="294"/>
      <c r="C25" s="1614">
        <v>0</v>
      </c>
      <c r="D25" s="1614">
        <v>770620000</v>
      </c>
      <c r="E25" s="1614">
        <v>0</v>
      </c>
      <c r="F25" s="1614">
        <v>0</v>
      </c>
      <c r="G25" s="1614"/>
      <c r="H25" s="1614"/>
      <c r="I25" s="1614"/>
      <c r="J25" s="1614"/>
      <c r="K25" s="1614"/>
      <c r="L25" s="1614"/>
      <c r="M25" s="1614"/>
      <c r="N25" s="1614"/>
      <c r="O25" s="1614"/>
      <c r="P25" s="1614"/>
      <c r="Q25" s="1614"/>
      <c r="R25" s="421">
        <f>SUM(C25:Q25)</f>
        <v>770620000</v>
      </c>
    </row>
    <row r="26" spans="1:18" ht="11.25" customHeight="1" x14ac:dyDescent="0.25">
      <c r="A26" s="325" t="str">
        <f>'A4-FinPerf RE'!A26</f>
        <v>Remuneration of councillors</v>
      </c>
      <c r="B26" s="294"/>
      <c r="C26" s="1614">
        <v>0</v>
      </c>
      <c r="D26" s="1614">
        <v>0</v>
      </c>
      <c r="E26" s="1614">
        <v>0</v>
      </c>
      <c r="F26" s="1614">
        <v>36419000</v>
      </c>
      <c r="G26" s="1614"/>
      <c r="H26" s="1614"/>
      <c r="I26" s="1614"/>
      <c r="J26" s="1614"/>
      <c r="K26" s="1614"/>
      <c r="L26" s="1614"/>
      <c r="M26" s="1614"/>
      <c r="N26" s="1614"/>
      <c r="O26" s="1614"/>
      <c r="P26" s="1614"/>
      <c r="Q26" s="1614"/>
      <c r="R26" s="421">
        <f t="shared" ref="R26:R35" si="2">SUM(C26:Q26)</f>
        <v>36419000</v>
      </c>
    </row>
    <row r="27" spans="1:18" ht="11.25" customHeight="1" x14ac:dyDescent="0.25">
      <c r="A27" s="325" t="str">
        <f>'A4-FinPerf RE'!A27</f>
        <v>Debt impairment</v>
      </c>
      <c r="B27" s="294"/>
      <c r="C27" s="1614"/>
      <c r="D27" s="1614">
        <v>137510000</v>
      </c>
      <c r="E27" s="1614"/>
      <c r="F27" s="1614"/>
      <c r="G27" s="1614"/>
      <c r="H27" s="1614"/>
      <c r="I27" s="1614"/>
      <c r="J27" s="1614"/>
      <c r="K27" s="1614"/>
      <c r="L27" s="1614"/>
      <c r="M27" s="1614"/>
      <c r="N27" s="1614"/>
      <c r="O27" s="1614"/>
      <c r="P27" s="1614"/>
      <c r="Q27" s="1614"/>
      <c r="R27" s="421">
        <f t="shared" si="2"/>
        <v>137510000</v>
      </c>
    </row>
    <row r="28" spans="1:18" ht="11.25" customHeight="1" x14ac:dyDescent="0.25">
      <c r="A28" s="325" t="str">
        <f>'A4-FinPerf RE'!A28</f>
        <v>Depreciation &amp; asset impairment</v>
      </c>
      <c r="B28" s="294"/>
      <c r="C28" s="1614">
        <v>0</v>
      </c>
      <c r="D28" s="1614">
        <v>0</v>
      </c>
      <c r="E28" s="1614">
        <v>189600000</v>
      </c>
      <c r="F28" s="1614">
        <v>0</v>
      </c>
      <c r="G28" s="1614"/>
      <c r="H28" s="1614"/>
      <c r="I28" s="1614"/>
      <c r="J28" s="1614"/>
      <c r="K28" s="1614"/>
      <c r="L28" s="1614"/>
      <c r="M28" s="1614"/>
      <c r="N28" s="1614"/>
      <c r="O28" s="1614"/>
      <c r="P28" s="1614"/>
      <c r="Q28" s="1614"/>
      <c r="R28" s="421">
        <f t="shared" si="2"/>
        <v>189600000</v>
      </c>
    </row>
    <row r="29" spans="1:18" ht="11.25" customHeight="1" x14ac:dyDescent="0.25">
      <c r="A29" s="325" t="str">
        <f>'A4-FinPerf RE'!A29</f>
        <v>Finance charges</v>
      </c>
      <c r="B29" s="294"/>
      <c r="C29" s="1614">
        <v>0</v>
      </c>
      <c r="D29" s="1614">
        <v>64601181</v>
      </c>
      <c r="E29" s="1614">
        <v>0</v>
      </c>
      <c r="F29" s="1614">
        <v>0</v>
      </c>
      <c r="G29" s="1614"/>
      <c r="H29" s="1614"/>
      <c r="I29" s="1614"/>
      <c r="J29" s="1614"/>
      <c r="K29" s="1614"/>
      <c r="L29" s="1614"/>
      <c r="M29" s="1614"/>
      <c r="N29" s="1614"/>
      <c r="O29" s="1614"/>
      <c r="P29" s="1614"/>
      <c r="Q29" s="1614"/>
      <c r="R29" s="421">
        <f t="shared" si="2"/>
        <v>64601181</v>
      </c>
    </row>
    <row r="30" spans="1:18" ht="11.25" customHeight="1" x14ac:dyDescent="0.25">
      <c r="A30" s="325" t="str">
        <f>'A4-FinPerf RE'!A30</f>
        <v>Bulk purchases</v>
      </c>
      <c r="B30" s="294"/>
      <c r="C30" s="1614"/>
      <c r="D30" s="1614"/>
      <c r="E30" s="1614">
        <v>1520315000</v>
      </c>
      <c r="F30" s="1614"/>
      <c r="G30" s="1614"/>
      <c r="H30" s="1614"/>
      <c r="I30" s="1614"/>
      <c r="J30" s="1614"/>
      <c r="K30" s="1614"/>
      <c r="L30" s="1614"/>
      <c r="M30" s="1614"/>
      <c r="N30" s="1614"/>
      <c r="O30" s="1614"/>
      <c r="P30" s="1614"/>
      <c r="Q30" s="1614"/>
      <c r="R30" s="421">
        <f t="shared" si="2"/>
        <v>1520315000</v>
      </c>
    </row>
    <row r="31" spans="1:18" ht="11.25" customHeight="1" x14ac:dyDescent="0.25">
      <c r="A31" s="325" t="str">
        <f>'A4-FinPerf RE'!A31</f>
        <v>Other materials</v>
      </c>
      <c r="B31" s="294"/>
      <c r="C31" s="1614"/>
      <c r="D31" s="1614"/>
      <c r="E31" s="1614"/>
      <c r="F31" s="1614"/>
      <c r="G31" s="1614"/>
      <c r="H31" s="1614"/>
      <c r="I31" s="1614"/>
      <c r="J31" s="1614"/>
      <c r="K31" s="1614"/>
      <c r="L31" s="1614"/>
      <c r="M31" s="1614"/>
      <c r="N31" s="1614"/>
      <c r="O31" s="1614"/>
      <c r="P31" s="1614"/>
      <c r="Q31" s="1614"/>
      <c r="R31" s="421">
        <f t="shared" si="2"/>
        <v>0</v>
      </c>
    </row>
    <row r="32" spans="1:18" ht="11.25" customHeight="1" x14ac:dyDescent="0.25">
      <c r="A32" s="325" t="str">
        <f>'A4-FinPerf RE'!A32</f>
        <v>Contracted services</v>
      </c>
      <c r="B32" s="294"/>
      <c r="C32" s="1614">
        <v>16792000</v>
      </c>
      <c r="D32" s="1614">
        <v>0</v>
      </c>
      <c r="E32" s="1614">
        <v>0</v>
      </c>
      <c r="F32" s="1614">
        <v>0</v>
      </c>
      <c r="G32" s="1614"/>
      <c r="H32" s="1614"/>
      <c r="I32" s="1614"/>
      <c r="J32" s="1614"/>
      <c r="K32" s="1614"/>
      <c r="L32" s="1614"/>
      <c r="M32" s="1614"/>
      <c r="N32" s="1614"/>
      <c r="O32" s="1614"/>
      <c r="P32" s="1614"/>
      <c r="Q32" s="1614"/>
      <c r="R32" s="421">
        <f t="shared" si="2"/>
        <v>16792000</v>
      </c>
    </row>
    <row r="33" spans="1:21" ht="11.25" customHeight="1" x14ac:dyDescent="0.25">
      <c r="A33" s="325" t="str">
        <f>'A4-FinPerf RE'!A33</f>
        <v>Transfers and grants</v>
      </c>
      <c r="B33" s="294"/>
      <c r="C33" s="1614">
        <v>0</v>
      </c>
      <c r="D33" s="1614">
        <v>5027000</v>
      </c>
      <c r="E33" s="1614">
        <v>0</v>
      </c>
      <c r="F33" s="1614">
        <v>0</v>
      </c>
      <c r="G33" s="1614"/>
      <c r="H33" s="1614"/>
      <c r="I33" s="1614"/>
      <c r="J33" s="1614"/>
      <c r="K33" s="1614"/>
      <c r="L33" s="1614"/>
      <c r="M33" s="1614"/>
      <c r="N33" s="1614"/>
      <c r="O33" s="1614"/>
      <c r="P33" s="1614"/>
      <c r="Q33" s="1614"/>
      <c r="R33" s="421">
        <f t="shared" si="2"/>
        <v>5027000</v>
      </c>
    </row>
    <row r="34" spans="1:21" ht="11.25" customHeight="1" x14ac:dyDescent="0.25">
      <c r="A34" s="325" t="str">
        <f>'A4-FinPerf RE'!A34</f>
        <v>Other expenditure</v>
      </c>
      <c r="B34" s="294"/>
      <c r="C34" s="1614"/>
      <c r="D34" s="1614">
        <v>732946000</v>
      </c>
      <c r="E34" s="1614"/>
      <c r="F34" s="1614"/>
      <c r="G34" s="1614"/>
      <c r="H34" s="1614"/>
      <c r="I34" s="1614"/>
      <c r="J34" s="1614"/>
      <c r="K34" s="1614"/>
      <c r="L34" s="1614"/>
      <c r="M34" s="1614"/>
      <c r="N34" s="1614"/>
      <c r="O34" s="1614"/>
      <c r="P34" s="1614"/>
      <c r="Q34" s="1614"/>
      <c r="R34" s="421">
        <f t="shared" si="2"/>
        <v>732946000</v>
      </c>
    </row>
    <row r="35" spans="1:21" ht="11.25" customHeight="1" x14ac:dyDescent="0.25">
      <c r="A35" s="325" t="str">
        <f>'A4-FinPerf RE'!A35</f>
        <v>Loss on disposal of PPE</v>
      </c>
      <c r="B35" s="294"/>
      <c r="C35" s="1614"/>
      <c r="D35" s="1614">
        <v>0</v>
      </c>
      <c r="E35" s="1614"/>
      <c r="F35" s="1614"/>
      <c r="G35" s="1614"/>
      <c r="H35" s="1614"/>
      <c r="I35" s="1614"/>
      <c r="J35" s="1614"/>
      <c r="K35" s="1614"/>
      <c r="L35" s="1614"/>
      <c r="M35" s="1614"/>
      <c r="N35" s="1614"/>
      <c r="O35" s="1614"/>
      <c r="P35" s="1614"/>
      <c r="Q35" s="1614"/>
      <c r="R35" s="421">
        <f t="shared" si="2"/>
        <v>0</v>
      </c>
    </row>
    <row r="36" spans="1:21" ht="11.25" customHeight="1" x14ac:dyDescent="0.25">
      <c r="A36" s="326" t="s">
        <v>1640</v>
      </c>
      <c r="B36" s="293"/>
      <c r="C36" s="213">
        <f t="shared" ref="C36:R36" si="3">SUM(C25:C35)</f>
        <v>16792000</v>
      </c>
      <c r="D36" s="213">
        <f t="shared" si="3"/>
        <v>1710704181</v>
      </c>
      <c r="E36" s="213">
        <f t="shared" si="3"/>
        <v>1709915000</v>
      </c>
      <c r="F36" s="213">
        <f t="shared" si="3"/>
        <v>36419000</v>
      </c>
      <c r="G36" s="213">
        <f t="shared" si="3"/>
        <v>0</v>
      </c>
      <c r="H36" s="213">
        <f t="shared" si="3"/>
        <v>0</v>
      </c>
      <c r="I36" s="213">
        <f t="shared" si="3"/>
        <v>0</v>
      </c>
      <c r="J36" s="213">
        <f t="shared" si="3"/>
        <v>0</v>
      </c>
      <c r="K36" s="213">
        <f t="shared" si="3"/>
        <v>0</v>
      </c>
      <c r="L36" s="213">
        <f t="shared" si="3"/>
        <v>0</v>
      </c>
      <c r="M36" s="213">
        <f t="shared" si="3"/>
        <v>0</v>
      </c>
      <c r="N36" s="213">
        <f t="shared" si="3"/>
        <v>0</v>
      </c>
      <c r="O36" s="213">
        <f t="shared" si="3"/>
        <v>0</v>
      </c>
      <c r="P36" s="213">
        <f t="shared" si="3"/>
        <v>0</v>
      </c>
      <c r="Q36" s="213">
        <f t="shared" si="3"/>
        <v>0</v>
      </c>
      <c r="R36" s="422">
        <f t="shared" si="3"/>
        <v>3473830181</v>
      </c>
    </row>
    <row r="37" spans="1:21" ht="5.15" customHeight="1" x14ac:dyDescent="0.25">
      <c r="A37" s="201"/>
      <c r="B37" s="293"/>
      <c r="C37" s="218"/>
      <c r="D37" s="218"/>
      <c r="E37" s="218"/>
      <c r="F37" s="218"/>
      <c r="G37" s="218"/>
      <c r="H37" s="218"/>
      <c r="I37" s="218"/>
      <c r="J37" s="218"/>
      <c r="K37" s="218"/>
      <c r="L37" s="218"/>
      <c r="M37" s="218"/>
      <c r="N37" s="218"/>
      <c r="O37" s="218"/>
      <c r="P37" s="218"/>
      <c r="Q37" s="218"/>
      <c r="R37" s="421"/>
    </row>
    <row r="38" spans="1:21" ht="11.25" customHeight="1" x14ac:dyDescent="0.25">
      <c r="A38" s="326" t="str">
        <f>'A4-FinPerf RE'!A38</f>
        <v>Surplus/(Deficit)</v>
      </c>
      <c r="B38" s="293"/>
      <c r="C38" s="213">
        <f t="shared" ref="C38:H38" si="4">C22-C36</f>
        <v>-16792000</v>
      </c>
      <c r="D38" s="213">
        <f t="shared" si="4"/>
        <v>-312360181</v>
      </c>
      <c r="E38" s="213">
        <f t="shared" si="4"/>
        <v>432157000</v>
      </c>
      <c r="F38" s="213">
        <f t="shared" si="4"/>
        <v>-36419000</v>
      </c>
      <c r="G38" s="213">
        <f t="shared" si="4"/>
        <v>0</v>
      </c>
      <c r="H38" s="213">
        <f t="shared" si="4"/>
        <v>0</v>
      </c>
      <c r="I38" s="213">
        <f t="shared" ref="I38:Q38" si="5">I22-I36</f>
        <v>0</v>
      </c>
      <c r="J38" s="213">
        <f t="shared" si="5"/>
        <v>0</v>
      </c>
      <c r="K38" s="213">
        <f t="shared" si="5"/>
        <v>0</v>
      </c>
      <c r="L38" s="213">
        <f t="shared" si="5"/>
        <v>0</v>
      </c>
      <c r="M38" s="213">
        <f t="shared" si="5"/>
        <v>0</v>
      </c>
      <c r="N38" s="213">
        <f t="shared" si="5"/>
        <v>0</v>
      </c>
      <c r="O38" s="213">
        <f t="shared" si="5"/>
        <v>0</v>
      </c>
      <c r="P38" s="213">
        <f t="shared" si="5"/>
        <v>0</v>
      </c>
      <c r="Q38" s="213">
        <f t="shared" si="5"/>
        <v>0</v>
      </c>
      <c r="R38" s="422">
        <f>R22-R36</f>
        <v>66585819</v>
      </c>
    </row>
    <row r="39" spans="1:21" ht="11.25" customHeight="1" x14ac:dyDescent="0.25">
      <c r="A39" s="190" t="str">
        <f>'A4-FinPerf RE'!A39</f>
        <v>Transfers recognised - capital</v>
      </c>
      <c r="B39" s="293"/>
      <c r="C39" s="1647"/>
      <c r="D39" s="1647"/>
      <c r="E39" s="1647"/>
      <c r="F39" s="1647"/>
      <c r="G39" s="1647"/>
      <c r="H39" s="1647"/>
      <c r="I39" s="1647"/>
      <c r="J39" s="1647"/>
      <c r="K39" s="1647"/>
      <c r="L39" s="1647"/>
      <c r="M39" s="1647"/>
      <c r="N39" s="1647"/>
      <c r="O39" s="1647"/>
      <c r="P39" s="1647"/>
      <c r="Q39" s="1647"/>
      <c r="R39" s="421">
        <f>SUM(C39:Q39)</f>
        <v>0</v>
      </c>
    </row>
    <row r="40" spans="1:21" x14ac:dyDescent="0.25">
      <c r="A40" s="423" t="str">
        <f>'A4-FinPerf RE'!A40</f>
        <v>Contributions recognised - capital</v>
      </c>
      <c r="B40" s="293"/>
      <c r="C40" s="1614"/>
      <c r="D40" s="1614"/>
      <c r="E40" s="1614"/>
      <c r="F40" s="1614"/>
      <c r="G40" s="1614"/>
      <c r="H40" s="1614"/>
      <c r="I40" s="1614"/>
      <c r="J40" s="1614"/>
      <c r="K40" s="1614"/>
      <c r="L40" s="1614"/>
      <c r="M40" s="1614"/>
      <c r="N40" s="1614"/>
      <c r="O40" s="1614"/>
      <c r="P40" s="1614"/>
      <c r="Q40" s="1614"/>
      <c r="R40" s="421">
        <f>SUM(C40:Q40)</f>
        <v>0</v>
      </c>
    </row>
    <row r="41" spans="1:21" ht="11.25" customHeight="1" x14ac:dyDescent="0.25">
      <c r="A41" s="190" t="str">
        <f>'A4-FinPerf RE'!A41</f>
        <v>Contributed assets</v>
      </c>
      <c r="B41" s="293"/>
      <c r="C41" s="1647"/>
      <c r="D41" s="1647"/>
      <c r="E41" s="1647"/>
      <c r="F41" s="1647"/>
      <c r="G41" s="1647"/>
      <c r="H41" s="1647"/>
      <c r="I41" s="1647"/>
      <c r="J41" s="1647"/>
      <c r="K41" s="1647"/>
      <c r="L41" s="1647"/>
      <c r="M41" s="1647"/>
      <c r="N41" s="1647"/>
      <c r="O41" s="1647"/>
      <c r="P41" s="1647"/>
      <c r="Q41" s="1647"/>
      <c r="R41" s="421">
        <f>SUM(C41:Q41)</f>
        <v>0</v>
      </c>
    </row>
    <row r="42" spans="1:21" ht="21" x14ac:dyDescent="0.25">
      <c r="A42" s="424" t="str">
        <f>'A4-FinPerf RE'!A42</f>
        <v>Surplus/(Deficit) after capital transfers &amp; contributions</v>
      </c>
      <c r="B42" s="306"/>
      <c r="C42" s="1281">
        <f t="shared" ref="C42:P42" si="6">SUM(C38:C41)</f>
        <v>-16792000</v>
      </c>
      <c r="D42" s="1281">
        <f t="shared" si="6"/>
        <v>-312360181</v>
      </c>
      <c r="E42" s="1281">
        <f t="shared" si="6"/>
        <v>432157000</v>
      </c>
      <c r="F42" s="1281">
        <f t="shared" si="6"/>
        <v>-36419000</v>
      </c>
      <c r="G42" s="1281">
        <f t="shared" si="6"/>
        <v>0</v>
      </c>
      <c r="H42" s="1281">
        <f t="shared" si="6"/>
        <v>0</v>
      </c>
      <c r="I42" s="1281">
        <f t="shared" si="6"/>
        <v>0</v>
      </c>
      <c r="J42" s="1281">
        <f t="shared" si="6"/>
        <v>0</v>
      </c>
      <c r="K42" s="1281">
        <f t="shared" si="6"/>
        <v>0</v>
      </c>
      <c r="L42" s="1281">
        <f t="shared" si="6"/>
        <v>0</v>
      </c>
      <c r="M42" s="1281">
        <f t="shared" si="6"/>
        <v>0</v>
      </c>
      <c r="N42" s="1281">
        <f t="shared" si="6"/>
        <v>0</v>
      </c>
      <c r="O42" s="1281">
        <f t="shared" si="6"/>
        <v>0</v>
      </c>
      <c r="P42" s="1281">
        <f t="shared" si="6"/>
        <v>0</v>
      </c>
      <c r="Q42" s="1281">
        <f>SUM(Q38:Q41)</f>
        <v>0</v>
      </c>
      <c r="R42" s="1282">
        <f>SUM(R38:R41)</f>
        <v>66585819</v>
      </c>
    </row>
    <row r="43" spans="1:21" s="709" customFormat="1" x14ac:dyDescent="0.25">
      <c r="A43" s="1232" t="str">
        <f>head27a</f>
        <v>References</v>
      </c>
      <c r="B43" s="1038"/>
      <c r="C43" s="1042"/>
      <c r="D43" s="1042"/>
      <c r="E43" s="1042"/>
      <c r="F43" s="1042"/>
      <c r="G43" s="1042"/>
      <c r="H43" s="1042"/>
      <c r="I43" s="1042"/>
      <c r="J43" s="1042"/>
      <c r="K43" s="1042"/>
      <c r="L43" s="1042"/>
      <c r="M43" s="1042"/>
      <c r="N43" s="1042"/>
      <c r="O43" s="1042"/>
      <c r="P43" s="1042"/>
      <c r="Q43" s="1042"/>
      <c r="R43" s="1042"/>
    </row>
    <row r="44" spans="1:21" s="709" customFormat="1" ht="11.25" customHeight="1" x14ac:dyDescent="0.25">
      <c r="A44" s="1197" t="s">
        <v>1686</v>
      </c>
      <c r="B44" s="1038"/>
      <c r="C44" s="1042"/>
      <c r="D44" s="1041"/>
      <c r="E44" s="1042"/>
      <c r="F44" s="1042"/>
      <c r="G44" s="1042"/>
      <c r="H44" s="1042"/>
      <c r="I44" s="1042"/>
      <c r="J44" s="1042"/>
      <c r="K44" s="1042"/>
      <c r="L44" s="1042"/>
      <c r="M44" s="1042"/>
      <c r="N44" s="1042"/>
      <c r="O44" s="1042"/>
      <c r="P44" s="1042"/>
      <c r="Q44" s="1042"/>
      <c r="R44" s="1042"/>
    </row>
    <row r="45" spans="1:21" ht="11.25" customHeight="1" x14ac:dyDescent="0.25">
      <c r="A45" s="288" t="s">
        <v>295</v>
      </c>
      <c r="B45" s="243"/>
      <c r="C45" s="245"/>
      <c r="D45" s="245"/>
      <c r="E45" s="245"/>
      <c r="F45" s="245"/>
      <c r="G45" s="245"/>
      <c r="H45" s="245"/>
      <c r="I45" s="245"/>
      <c r="J45" s="245"/>
      <c r="K45" s="245"/>
      <c r="L45" s="245"/>
      <c r="M45" s="245"/>
      <c r="N45" s="245"/>
      <c r="O45" s="245"/>
      <c r="P45" s="245"/>
      <c r="Q45" s="245"/>
      <c r="R45" s="989">
        <f>'A4-FinPerf RE'!J42-'SA2'!R42</f>
        <v>0</v>
      </c>
    </row>
    <row r="46" spans="1:21" ht="11.25" customHeight="1" x14ac:dyDescent="0.25">
      <c r="A46" s="244"/>
      <c r="B46" s="243"/>
      <c r="C46" s="245"/>
      <c r="D46" s="245"/>
      <c r="E46" s="245"/>
      <c r="F46" s="245"/>
      <c r="G46" s="245"/>
      <c r="H46" s="245"/>
      <c r="I46" s="245"/>
      <c r="J46" s="245"/>
      <c r="K46" s="245"/>
      <c r="L46" s="245"/>
      <c r="M46" s="245"/>
      <c r="N46" s="245"/>
      <c r="O46" s="245"/>
      <c r="P46" s="245"/>
      <c r="Q46" s="245"/>
      <c r="R46" s="245"/>
    </row>
    <row r="47" spans="1:21" ht="11.25" customHeight="1" x14ac:dyDescent="0.25">
      <c r="B47" s="149"/>
      <c r="U47" s="425"/>
    </row>
    <row r="48" spans="1:21" ht="11.25" customHeight="1" x14ac:dyDescent="0.25">
      <c r="B48" s="149"/>
      <c r="G48" s="309"/>
      <c r="H48" s="309"/>
      <c r="I48" s="309"/>
      <c r="J48" s="309"/>
      <c r="K48" s="309"/>
      <c r="L48" s="309"/>
      <c r="M48" s="309"/>
      <c r="N48" s="309"/>
      <c r="O48" s="309"/>
      <c r="P48" s="309"/>
      <c r="Q48" s="309"/>
      <c r="R48" s="309"/>
    </row>
    <row r="49" spans="2:21" ht="11.25" customHeight="1" x14ac:dyDescent="0.25">
      <c r="B49" s="149"/>
      <c r="G49" s="309"/>
      <c r="H49" s="309"/>
      <c r="I49" s="309"/>
      <c r="J49" s="309"/>
      <c r="K49" s="309"/>
      <c r="L49" s="309"/>
      <c r="M49" s="309"/>
      <c r="N49" s="309"/>
      <c r="O49" s="309"/>
      <c r="P49" s="309"/>
      <c r="Q49" s="309"/>
      <c r="R49" s="309"/>
    </row>
    <row r="50" spans="2:21" ht="11.25" customHeight="1" x14ac:dyDescent="0.25">
      <c r="B50" s="149"/>
      <c r="G50" s="309"/>
      <c r="H50" s="309"/>
      <c r="I50" s="309"/>
      <c r="J50" s="309"/>
      <c r="K50" s="309"/>
      <c r="L50" s="309"/>
      <c r="M50" s="309"/>
      <c r="N50" s="309"/>
      <c r="O50" s="309"/>
      <c r="P50" s="309"/>
      <c r="Q50" s="309"/>
      <c r="R50" s="309"/>
    </row>
    <row r="51" spans="2:21" ht="11.25" customHeight="1" x14ac:dyDescent="0.25">
      <c r="B51" s="149"/>
      <c r="U51" s="310"/>
    </row>
    <row r="52" spans="2:21" ht="11.25" customHeight="1" x14ac:dyDescent="0.25">
      <c r="B52" s="149"/>
      <c r="U52" s="310"/>
    </row>
    <row r="53" spans="2:21" ht="11.25" customHeight="1" x14ac:dyDescent="0.25">
      <c r="B53" s="149"/>
      <c r="U53" s="310"/>
    </row>
    <row r="54" spans="2:21" ht="11.25" customHeight="1" x14ac:dyDescent="0.25">
      <c r="B54" s="149"/>
    </row>
    <row r="55" spans="2:21" ht="11.25" customHeight="1" x14ac:dyDescent="0.25">
      <c r="B55" s="149"/>
    </row>
    <row r="56" spans="2:21" ht="11.25" customHeight="1" x14ac:dyDescent="0.25">
      <c r="B56" s="149"/>
    </row>
    <row r="57" spans="2:21" ht="11.25" customHeight="1" x14ac:dyDescent="0.25">
      <c r="B57" s="149"/>
    </row>
    <row r="58" spans="2:21" ht="11.25" customHeight="1" x14ac:dyDescent="0.25">
      <c r="B58" s="149"/>
    </row>
    <row r="59" spans="2:21" ht="11.25" customHeight="1" x14ac:dyDescent="0.25">
      <c r="B59" s="149"/>
    </row>
    <row r="60" spans="2:21" ht="11.25" customHeight="1" x14ac:dyDescent="0.25">
      <c r="B60" s="149"/>
    </row>
    <row r="61" spans="2:21" ht="11.25" customHeight="1" x14ac:dyDescent="0.25">
      <c r="B61" s="149"/>
    </row>
    <row r="62" spans="2:21" ht="11.25" customHeight="1" x14ac:dyDescent="0.25">
      <c r="B62" s="149"/>
    </row>
    <row r="63" spans="2:21" ht="11.25" customHeight="1" x14ac:dyDescent="0.25">
      <c r="B63" s="149"/>
    </row>
    <row r="64" spans="2:21" ht="11.25" customHeight="1" x14ac:dyDescent="0.25">
      <c r="B64" s="149"/>
    </row>
    <row r="65" spans="2:2" ht="11.25" customHeight="1" x14ac:dyDescent="0.25">
      <c r="B65" s="149"/>
    </row>
    <row r="66" spans="2:2" ht="11.25" customHeight="1" x14ac:dyDescent="0.25">
      <c r="B66" s="149"/>
    </row>
    <row r="67" spans="2:2" ht="11.25" customHeight="1" x14ac:dyDescent="0.25">
      <c r="B67" s="149"/>
    </row>
    <row r="68" spans="2:2" ht="11.25" customHeight="1" x14ac:dyDescent="0.25">
      <c r="B68" s="149"/>
    </row>
    <row r="69" spans="2:2" ht="11.25" customHeight="1" x14ac:dyDescent="0.25">
      <c r="B69" s="149"/>
    </row>
    <row r="70" spans="2:2" ht="11.25" customHeight="1" x14ac:dyDescent="0.25">
      <c r="B70" s="149"/>
    </row>
    <row r="71" spans="2:2" ht="11.25" customHeight="1" x14ac:dyDescent="0.25">
      <c r="B71" s="149"/>
    </row>
    <row r="72" spans="2:2" ht="11.25" customHeight="1" x14ac:dyDescent="0.25">
      <c r="B72" s="149"/>
    </row>
    <row r="73" spans="2:2" ht="11.25" customHeight="1" x14ac:dyDescent="0.25">
      <c r="B73" s="149"/>
    </row>
    <row r="74" spans="2:2" ht="11.25" customHeight="1" x14ac:dyDescent="0.25">
      <c r="B74" s="149"/>
    </row>
    <row r="75" spans="2:2" ht="11.25" customHeight="1" x14ac:dyDescent="0.25"/>
    <row r="76" spans="2:2" ht="11.25" customHeight="1" x14ac:dyDescent="0.25"/>
    <row r="77" spans="2:2" ht="11.25" customHeight="1" x14ac:dyDescent="0.25"/>
    <row r="78" spans="2:2" ht="11.25" customHeight="1" x14ac:dyDescent="0.25"/>
    <row r="79" spans="2:2" ht="11.25" customHeight="1" x14ac:dyDescent="0.25"/>
    <row r="80" spans="2:2" ht="11.25" customHeight="1" x14ac:dyDescent="0.25"/>
    <row r="81" ht="11.25" customHeight="1" x14ac:dyDescent="0.25"/>
    <row r="82" ht="11.25" customHeight="1" x14ac:dyDescent="0.25"/>
    <row r="83" ht="11.25" customHeight="1" x14ac:dyDescent="0.25"/>
  </sheetData>
  <sheetProtection sheet="1" objects="1" scenarios="1"/>
  <mergeCells count="16">
    <mergeCell ref="G2:G3"/>
    <mergeCell ref="H2:H3"/>
    <mergeCell ref="C2:C3"/>
    <mergeCell ref="D2:D3"/>
    <mergeCell ref="E2:E3"/>
    <mergeCell ref="F2:F3"/>
    <mergeCell ref="Q2:Q3"/>
    <mergeCell ref="R2:R3"/>
    <mergeCell ref="I2:I3"/>
    <mergeCell ref="J2:J3"/>
    <mergeCell ref="K2:K3"/>
    <mergeCell ref="L2:L3"/>
    <mergeCell ref="M2:M3"/>
    <mergeCell ref="N2:N3"/>
    <mergeCell ref="O2:O3"/>
    <mergeCell ref="P2:P3"/>
  </mergeCells>
  <phoneticPr fontId="2" type="noConversion"/>
  <printOptions horizontalCentered="1"/>
  <pageMargins left="0" right="0" top="0.78740157480314965" bottom="0.59055118110236227" header="0.51181102362204722" footer="0.43307086614173229"/>
  <pageSetup paperSize="9" scale="56"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enableFormatConditionsCalculation="0">
    <tabColor indexed="42"/>
  </sheetPr>
  <dimension ref="A1:L92"/>
  <sheetViews>
    <sheetView showGridLines="0" zoomScaleNormal="100" workbookViewId="0">
      <pane xSplit="2" ySplit="4" topLeftCell="C63" activePane="bottomRight" state="frozen"/>
      <selection pane="topRight"/>
      <selection pane="bottomLeft"/>
      <selection pane="bottomRight" activeCell="L55" sqref="L55"/>
    </sheetView>
  </sheetViews>
  <sheetFormatPr defaultColWidth="9.1796875" defaultRowHeight="10.5" x14ac:dyDescent="0.25"/>
  <cols>
    <col min="1" max="1" width="30.7265625" style="149" customWidth="1"/>
    <col min="2" max="2" width="3" style="247" customWidth="1"/>
    <col min="3" max="8" width="9.26953125" style="149" customWidth="1"/>
    <col min="9" max="9" width="9.1796875" style="149" customWidth="1"/>
    <col min="10" max="12" width="9.26953125" style="149" customWidth="1"/>
    <col min="13" max="13" width="9.81640625" style="149" customWidth="1"/>
    <col min="14" max="14" width="9.54296875" style="149" customWidth="1"/>
    <col min="15" max="15" width="9.81640625" style="149" customWidth="1"/>
    <col min="16" max="18" width="9.54296875" style="149" customWidth="1"/>
    <col min="19" max="19" width="9.81640625" style="149" customWidth="1"/>
    <col min="20" max="22" width="9.54296875" style="149" customWidth="1"/>
    <col min="23" max="24" width="9.81640625" style="149" customWidth="1"/>
    <col min="25" max="16384" width="9.1796875" style="149"/>
  </cols>
  <sheetData>
    <row r="1" spans="1:12" s="179" customFormat="1" ht="13" x14ac:dyDescent="0.3">
      <c r="A1" s="147" t="str">
        <f>muni&amp;" - "&amp;TableA3</f>
        <v>KZN225 Msunduzi - Supporting Table SA3 Supportinging detail to 'Budgeted Financial Position'</v>
      </c>
      <c r="B1" s="147"/>
      <c r="C1" s="147"/>
      <c r="D1" s="147"/>
      <c r="E1" s="147"/>
      <c r="F1" s="147"/>
      <c r="G1" s="147"/>
      <c r="H1" s="147"/>
      <c r="I1" s="147"/>
      <c r="J1" s="147"/>
      <c r="K1" s="147"/>
      <c r="L1" s="147"/>
    </row>
    <row r="2" spans="1:12" ht="28.5" customHeight="1" x14ac:dyDescent="0.25">
      <c r="A2" s="2701" t="str">
        <f>desc</f>
        <v>Description</v>
      </c>
      <c r="B2" s="2703" t="str">
        <f>head27</f>
        <v>Ref</v>
      </c>
      <c r="C2" s="150" t="str">
        <f>head1b</f>
        <v>2009/10</v>
      </c>
      <c r="D2" s="150" t="str">
        <f>head1A</f>
        <v>2010/11</v>
      </c>
      <c r="E2" s="146" t="str">
        <f>Head1</f>
        <v>2011/12</v>
      </c>
      <c r="F2" s="2677" t="str">
        <f>Head2</f>
        <v>Current Year 2012/13</v>
      </c>
      <c r="G2" s="2678"/>
      <c r="H2" s="2678"/>
      <c r="I2" s="2678"/>
      <c r="J2" s="2674" t="str">
        <f>Head3</f>
        <v>2013/14 Medium Term Revenue &amp; Expenditure Framework</v>
      </c>
      <c r="K2" s="2675"/>
      <c r="L2" s="2676"/>
    </row>
    <row r="3" spans="1:12" ht="33.75" customHeight="1" x14ac:dyDescent="0.25">
      <c r="A3" s="2702"/>
      <c r="B3" s="2704"/>
      <c r="C3" s="152" t="str">
        <f>Head5</f>
        <v>Audited Outcome</v>
      </c>
      <c r="D3" s="152" t="str">
        <f>Head5</f>
        <v>Audited Outcome</v>
      </c>
      <c r="E3" s="153" t="str">
        <f>Head5</f>
        <v>Audited Outcome</v>
      </c>
      <c r="F3" s="151" t="str">
        <f>Head6</f>
        <v>Original Budget</v>
      </c>
      <c r="G3" s="152" t="str">
        <f>Head7</f>
        <v>Adjusted Budget</v>
      </c>
      <c r="H3" s="153" t="str">
        <f>Head8</f>
        <v>Full Year Forecast</v>
      </c>
      <c r="I3" s="154" t="str">
        <f>Head5b</f>
        <v>Pre-audit outcome</v>
      </c>
      <c r="J3" s="151" t="str">
        <f>Head9</f>
        <v>Budget Year 2013/14</v>
      </c>
      <c r="K3" s="152" t="str">
        <f>Head10</f>
        <v>Budget Year +1 2014/15</v>
      </c>
      <c r="L3" s="153" t="str">
        <f>Head11</f>
        <v>Budget Year +2 2015/16</v>
      </c>
    </row>
    <row r="4" spans="1:12" ht="11.25" customHeight="1" x14ac:dyDescent="0.25">
      <c r="A4" s="180" t="s">
        <v>665</v>
      </c>
      <c r="B4" s="290"/>
      <c r="C4" s="138"/>
      <c r="D4" s="138"/>
      <c r="E4" s="156"/>
      <c r="F4" s="155"/>
      <c r="G4" s="138"/>
      <c r="H4" s="156"/>
      <c r="I4" s="157"/>
      <c r="J4" s="155"/>
      <c r="K4" s="138"/>
      <c r="L4" s="156"/>
    </row>
    <row r="5" spans="1:12" ht="11.25" customHeight="1" x14ac:dyDescent="0.25">
      <c r="A5" s="326" t="s">
        <v>1017</v>
      </c>
      <c r="B5" s="291"/>
      <c r="C5" s="426"/>
      <c r="D5" s="426"/>
      <c r="E5" s="204"/>
      <c r="F5" s="205"/>
      <c r="G5" s="426"/>
      <c r="H5" s="204"/>
      <c r="I5" s="202"/>
      <c r="J5" s="427"/>
      <c r="K5" s="426"/>
      <c r="L5" s="204"/>
    </row>
    <row r="6" spans="1:12" ht="11.25" customHeight="1" x14ac:dyDescent="0.25">
      <c r="A6" s="181" t="str">
        <f>'A6-FinPos'!A7</f>
        <v>Call investment deposits</v>
      </c>
      <c r="B6" s="293"/>
      <c r="C6" s="203"/>
      <c r="D6" s="203"/>
      <c r="E6" s="204"/>
      <c r="F6" s="205"/>
      <c r="G6" s="203"/>
      <c r="H6" s="204"/>
      <c r="I6" s="202"/>
      <c r="J6" s="206"/>
      <c r="K6" s="203"/>
      <c r="L6" s="204"/>
    </row>
    <row r="7" spans="1:12" ht="11.25" customHeight="1" x14ac:dyDescent="0.25">
      <c r="A7" s="190" t="s">
        <v>819</v>
      </c>
      <c r="B7" s="293"/>
      <c r="C7" s="1614">
        <f>118688660</f>
        <v>118688660</v>
      </c>
      <c r="D7" s="1614">
        <v>282404193</v>
      </c>
      <c r="E7" s="1634">
        <v>561104000</v>
      </c>
      <c r="F7" s="1635">
        <v>511891585</v>
      </c>
      <c r="G7" s="1053">
        <f>136347709+F7</f>
        <v>648239294</v>
      </c>
      <c r="H7" s="1634">
        <f>G7</f>
        <v>648239294</v>
      </c>
      <c r="I7" s="1636">
        <f>H7</f>
        <v>648239294</v>
      </c>
      <c r="J7" s="1614">
        <v>539021839.005</v>
      </c>
      <c r="K7" s="1634">
        <v>565433909.11624491</v>
      </c>
      <c r="L7" s="1634">
        <v>593706000</v>
      </c>
    </row>
    <row r="8" spans="1:12" ht="11.25" customHeight="1" x14ac:dyDescent="0.25">
      <c r="A8" s="190" t="s">
        <v>1555</v>
      </c>
      <c r="B8" s="293"/>
      <c r="C8" s="1614"/>
      <c r="D8" s="1614"/>
      <c r="E8" s="1634"/>
      <c r="F8" s="1635"/>
      <c r="G8" s="1614"/>
      <c r="H8" s="1634"/>
      <c r="I8" s="1636"/>
      <c r="J8" s="1614"/>
      <c r="K8" s="1634"/>
      <c r="L8" s="1634"/>
    </row>
    <row r="9" spans="1:12" ht="11.25" customHeight="1" x14ac:dyDescent="0.25">
      <c r="A9" s="326" t="str">
        <f>"Total "&amp;A6</f>
        <v>Total Call investment deposits</v>
      </c>
      <c r="B9" s="293">
        <v>2</v>
      </c>
      <c r="C9" s="213">
        <f>SUM(C7:C8)</f>
        <v>118688660</v>
      </c>
      <c r="D9" s="213">
        <f t="shared" ref="D9:L9" si="0">SUM(D7:D8)</f>
        <v>282404193</v>
      </c>
      <c r="E9" s="214">
        <f t="shared" si="0"/>
        <v>561104000</v>
      </c>
      <c r="F9" s="215">
        <f t="shared" si="0"/>
        <v>511891585</v>
      </c>
      <c r="G9" s="213">
        <f t="shared" si="0"/>
        <v>648239294</v>
      </c>
      <c r="H9" s="214">
        <f t="shared" si="0"/>
        <v>648239294</v>
      </c>
      <c r="I9" s="212">
        <f t="shared" si="0"/>
        <v>648239294</v>
      </c>
      <c r="J9" s="216">
        <f t="shared" si="0"/>
        <v>539021839.005</v>
      </c>
      <c r="K9" s="213">
        <f t="shared" si="0"/>
        <v>565433909.11624491</v>
      </c>
      <c r="L9" s="214">
        <f t="shared" si="0"/>
        <v>593706000</v>
      </c>
    </row>
    <row r="10" spans="1:12" ht="5.15" customHeight="1" x14ac:dyDescent="0.25">
      <c r="A10" s="201"/>
      <c r="B10" s="293"/>
      <c r="C10" s="203"/>
      <c r="D10" s="203"/>
      <c r="E10" s="204"/>
      <c r="F10" s="205"/>
      <c r="G10" s="203"/>
      <c r="H10" s="204"/>
      <c r="I10" s="202"/>
      <c r="J10" s="206"/>
      <c r="K10" s="203"/>
      <c r="L10" s="204"/>
    </row>
    <row r="11" spans="1:12" ht="11.25" customHeight="1" x14ac:dyDescent="0.25">
      <c r="A11" s="181" t="str">
        <f>'A6-FinPos'!A8</f>
        <v>Consumer debtors</v>
      </c>
      <c r="B11" s="293"/>
      <c r="C11" s="203"/>
      <c r="D11" s="203"/>
      <c r="E11" s="204"/>
      <c r="F11" s="205"/>
      <c r="G11" s="203"/>
      <c r="H11" s="204"/>
      <c r="I11" s="202"/>
      <c r="J11" s="206"/>
      <c r="K11" s="203"/>
      <c r="L11" s="204"/>
    </row>
    <row r="12" spans="1:12" ht="11.25" customHeight="1" x14ac:dyDescent="0.25">
      <c r="A12" s="190" t="str">
        <f>A11</f>
        <v>Consumer debtors</v>
      </c>
      <c r="B12" s="293"/>
      <c r="C12" s="1614">
        <v>645382000</v>
      </c>
      <c r="D12" s="1614">
        <v>878880639</v>
      </c>
      <c r="E12" s="1634">
        <v>549680000</v>
      </c>
      <c r="F12" s="1635">
        <v>987840570</v>
      </c>
      <c r="G12" s="1614">
        <f t="shared" ref="G12:I13" si="1">F12</f>
        <v>987840570</v>
      </c>
      <c r="H12" s="1634">
        <f t="shared" si="1"/>
        <v>987840570</v>
      </c>
      <c r="I12" s="1634">
        <f t="shared" si="1"/>
        <v>987840570</v>
      </c>
      <c r="J12" s="1614">
        <v>1140196000</v>
      </c>
      <c r="K12" s="1634">
        <v>1091165730.1002898</v>
      </c>
      <c r="L12" s="1634">
        <v>970021000</v>
      </c>
    </row>
    <row r="13" spans="1:12" ht="11.25" customHeight="1" x14ac:dyDescent="0.25">
      <c r="A13" s="415" t="s">
        <v>373</v>
      </c>
      <c r="B13" s="293"/>
      <c r="C13" s="1614">
        <v>-430578131</v>
      </c>
      <c r="D13" s="1614">
        <v>-525990243</v>
      </c>
      <c r="E13" s="1634"/>
      <c r="F13" s="1635">
        <v>-250342423.09999999</v>
      </c>
      <c r="G13" s="1614">
        <f t="shared" si="1"/>
        <v>-250342423.09999999</v>
      </c>
      <c r="H13" s="1634">
        <f t="shared" si="1"/>
        <v>-250342423.09999999</v>
      </c>
      <c r="I13" s="1634">
        <f t="shared" si="1"/>
        <v>-250342423.09999999</v>
      </c>
      <c r="J13" s="1614">
        <v>-137510000</v>
      </c>
      <c r="K13" s="1634">
        <v>-154111000</v>
      </c>
      <c r="L13" s="1634">
        <v>-158637000</v>
      </c>
    </row>
    <row r="14" spans="1:12" ht="11.25" customHeight="1" x14ac:dyDescent="0.25">
      <c r="A14" s="326" t="str">
        <f>"Total "&amp;A11</f>
        <v>Total Consumer debtors</v>
      </c>
      <c r="B14" s="293">
        <v>2</v>
      </c>
      <c r="C14" s="213">
        <f>SUM(C12:C13)</f>
        <v>214803869</v>
      </c>
      <c r="D14" s="213">
        <f t="shared" ref="D14:L14" si="2">SUM(D12:D13)</f>
        <v>352890396</v>
      </c>
      <c r="E14" s="214">
        <f t="shared" si="2"/>
        <v>549680000</v>
      </c>
      <c r="F14" s="215">
        <f>SUM(F12:F13)</f>
        <v>737498146.89999998</v>
      </c>
      <c r="G14" s="213">
        <f t="shared" si="2"/>
        <v>737498146.89999998</v>
      </c>
      <c r="H14" s="214">
        <f t="shared" si="2"/>
        <v>737498146.89999998</v>
      </c>
      <c r="I14" s="212">
        <f t="shared" si="2"/>
        <v>737498146.89999998</v>
      </c>
      <c r="J14" s="216">
        <f t="shared" si="2"/>
        <v>1002686000</v>
      </c>
      <c r="K14" s="213">
        <f t="shared" si="2"/>
        <v>937054730.10028982</v>
      </c>
      <c r="L14" s="214">
        <f t="shared" si="2"/>
        <v>811384000</v>
      </c>
    </row>
    <row r="15" spans="1:12" ht="5.15" customHeight="1" x14ac:dyDescent="0.25">
      <c r="A15" s="201"/>
      <c r="B15" s="293"/>
      <c r="C15" s="203"/>
      <c r="D15" s="203"/>
      <c r="E15" s="204"/>
      <c r="F15" s="205"/>
      <c r="G15" s="203"/>
      <c r="H15" s="204"/>
      <c r="I15" s="202"/>
      <c r="J15" s="206"/>
      <c r="K15" s="203"/>
      <c r="L15" s="204"/>
    </row>
    <row r="16" spans="1:12" ht="11.25" customHeight="1" x14ac:dyDescent="0.25">
      <c r="A16" s="1186" t="s">
        <v>3</v>
      </c>
      <c r="B16" s="293"/>
      <c r="C16" s="203"/>
      <c r="D16" s="203"/>
      <c r="E16" s="204"/>
      <c r="F16" s="205"/>
      <c r="G16" s="203"/>
      <c r="H16" s="204"/>
      <c r="I16" s="202"/>
      <c r="J16" s="206"/>
      <c r="K16" s="203"/>
      <c r="L16" s="204"/>
    </row>
    <row r="17" spans="1:12" ht="11.25" customHeight="1" x14ac:dyDescent="0.25">
      <c r="A17" s="418" t="s">
        <v>4</v>
      </c>
      <c r="B17" s="293"/>
      <c r="C17" s="1614">
        <v>-182000434</v>
      </c>
      <c r="D17" s="1614">
        <v>-430578000</v>
      </c>
      <c r="E17" s="1634">
        <v>-525990242</v>
      </c>
      <c r="F17" s="1635">
        <v>-686907200</v>
      </c>
      <c r="G17" s="1614">
        <f>F17</f>
        <v>-686907200</v>
      </c>
      <c r="H17" s="1634">
        <f>F17+G17</f>
        <v>-1373814400</v>
      </c>
      <c r="I17" s="1634">
        <f>G17+H17</f>
        <v>-2060721600</v>
      </c>
      <c r="J17" s="1614">
        <v>-1052407200</v>
      </c>
      <c r="K17" s="1634">
        <v>-952102000</v>
      </c>
      <c r="L17" s="1634">
        <v>-454210000</v>
      </c>
    </row>
    <row r="18" spans="1:12" ht="11.25" customHeight="1" x14ac:dyDescent="0.25">
      <c r="A18" s="418" t="s">
        <v>5</v>
      </c>
      <c r="B18" s="293"/>
      <c r="C18" s="1614">
        <v>-250539606</v>
      </c>
      <c r="D18" s="1614">
        <v>-96000000</v>
      </c>
      <c r="E18" s="1634">
        <v>-58209770</v>
      </c>
      <c r="F18" s="1635">
        <v>-250342423.09999999</v>
      </c>
      <c r="G18" s="1614">
        <f>F18</f>
        <v>-250342423.09999999</v>
      </c>
      <c r="H18" s="1634">
        <f>F18+G18</f>
        <v>-500684846.19999999</v>
      </c>
      <c r="I18" s="1634">
        <f>G18+H18</f>
        <v>-751027269.29999995</v>
      </c>
      <c r="J18" s="1614">
        <v>-137510000</v>
      </c>
      <c r="K18" s="1634">
        <v>-154111000</v>
      </c>
      <c r="L18" s="1634">
        <v>-158637000</v>
      </c>
    </row>
    <row r="19" spans="1:12" ht="11.25" customHeight="1" x14ac:dyDescent="0.25">
      <c r="A19" s="418" t="s">
        <v>6</v>
      </c>
      <c r="B19" s="293"/>
      <c r="C19" s="1614">
        <v>1961909</v>
      </c>
      <c r="D19" s="1614">
        <v>587888</v>
      </c>
      <c r="E19" s="1634">
        <v>-157251</v>
      </c>
      <c r="F19" s="1635"/>
      <c r="G19" s="1614"/>
      <c r="H19" s="1634"/>
      <c r="I19" s="1634"/>
      <c r="J19" s="1614"/>
      <c r="K19" s="1634"/>
      <c r="L19" s="1634"/>
    </row>
    <row r="20" spans="1:12" ht="11.25" customHeight="1" x14ac:dyDescent="0.25">
      <c r="A20" s="1185" t="s">
        <v>7</v>
      </c>
      <c r="B20" s="293"/>
      <c r="C20" s="213">
        <f>SUM(C17:C19)</f>
        <v>-430578131</v>
      </c>
      <c r="D20" s="213">
        <f t="shared" ref="D20:L20" si="3">SUM(D17:D19)</f>
        <v>-525990112</v>
      </c>
      <c r="E20" s="214">
        <f t="shared" si="3"/>
        <v>-584357263</v>
      </c>
      <c r="F20" s="215">
        <f t="shared" si="3"/>
        <v>-937249623.10000002</v>
      </c>
      <c r="G20" s="213">
        <f t="shared" si="3"/>
        <v>-937249623.10000002</v>
      </c>
      <c r="H20" s="214">
        <f t="shared" si="3"/>
        <v>-1874499246.2</v>
      </c>
      <c r="I20" s="212">
        <f t="shared" si="3"/>
        <v>-2811748869.3000002</v>
      </c>
      <c r="J20" s="216">
        <f t="shared" si="3"/>
        <v>-1189917200</v>
      </c>
      <c r="K20" s="213">
        <f t="shared" si="3"/>
        <v>-1106213000</v>
      </c>
      <c r="L20" s="214">
        <f t="shared" si="3"/>
        <v>-612847000</v>
      </c>
    </row>
    <row r="21" spans="1:12" ht="5.15" customHeight="1" x14ac:dyDescent="0.25">
      <c r="A21" s="201"/>
      <c r="B21" s="293"/>
      <c r="C21" s="203"/>
      <c r="D21" s="203"/>
      <c r="E21" s="204"/>
      <c r="F21" s="205"/>
      <c r="G21" s="203"/>
      <c r="H21" s="204"/>
      <c r="I21" s="202"/>
      <c r="J21" s="206"/>
      <c r="K21" s="203"/>
      <c r="L21" s="204"/>
    </row>
    <row r="22" spans="1:12" ht="11.25" customHeight="1" x14ac:dyDescent="0.25">
      <c r="A22" s="181" t="str">
        <f>'A6-FinPos'!A19&amp;" (PPE)"</f>
        <v>Property, plant and equipment (PPE)</v>
      </c>
      <c r="B22" s="293"/>
      <c r="C22" s="203"/>
      <c r="D22" s="203"/>
      <c r="E22" s="204"/>
      <c r="F22" s="205"/>
      <c r="G22" s="203"/>
      <c r="H22" s="204"/>
      <c r="I22" s="202"/>
      <c r="J22" s="206"/>
      <c r="K22" s="203"/>
      <c r="L22" s="204"/>
    </row>
    <row r="23" spans="1:12" ht="11.25" customHeight="1" x14ac:dyDescent="0.25">
      <c r="A23" s="325" t="s">
        <v>1659</v>
      </c>
      <c r="B23" s="293"/>
      <c r="C23" s="1614">
        <f>7400516583</f>
        <v>7400516583</v>
      </c>
      <c r="D23" s="1614">
        <v>7431803603</v>
      </c>
      <c r="E23" s="1634">
        <f>7665324408-105220+106000</f>
        <v>7665325188</v>
      </c>
      <c r="F23" s="1635">
        <v>7920357914</v>
      </c>
      <c r="G23" s="1614">
        <f>F23</f>
        <v>7920357914</v>
      </c>
      <c r="H23" s="1634">
        <f>G23</f>
        <v>7920357914</v>
      </c>
      <c r="I23" s="1634">
        <f>H23</f>
        <v>7920357914</v>
      </c>
      <c r="J23" s="1614">
        <f>7780053000-66</f>
        <v>7780052934</v>
      </c>
      <c r="K23" s="1634">
        <f>7806200000</f>
        <v>7806200000</v>
      </c>
      <c r="L23" s="1634">
        <f>7930631219</f>
        <v>7930631219</v>
      </c>
    </row>
    <row r="24" spans="1:12" ht="11.25" customHeight="1" x14ac:dyDescent="0.25">
      <c r="A24" s="325" t="s">
        <v>1054</v>
      </c>
      <c r="B24" s="293">
        <v>3</v>
      </c>
      <c r="C24" s="1614"/>
      <c r="D24" s="1614"/>
      <c r="E24" s="1634"/>
      <c r="F24" s="1635"/>
      <c r="G24" s="1614"/>
      <c r="H24" s="1634"/>
      <c r="I24" s="1634"/>
      <c r="J24" s="1614"/>
      <c r="K24" s="1634"/>
      <c r="L24" s="1634"/>
    </row>
    <row r="25" spans="1:12" ht="11.25" customHeight="1" x14ac:dyDescent="0.25">
      <c r="A25" s="1536" t="s">
        <v>820</v>
      </c>
      <c r="B25" s="293"/>
      <c r="C25" s="1614">
        <f>1178798081-88527-292</f>
        <v>1178709262</v>
      </c>
      <c r="D25" s="1614">
        <f>1034157216-71824</f>
        <v>1034085392</v>
      </c>
      <c r="E25" s="1634">
        <v>1303575791</v>
      </c>
      <c r="F25" s="1635">
        <v>1211523997</v>
      </c>
      <c r="G25" s="1614">
        <f>F25</f>
        <v>1211523997</v>
      </c>
      <c r="H25" s="1634">
        <f>G25</f>
        <v>1211523997</v>
      </c>
      <c r="I25" s="1634">
        <f>H25</f>
        <v>1211523997</v>
      </c>
      <c r="J25" s="1614">
        <v>1275734768.8409998</v>
      </c>
      <c r="K25" s="1634">
        <v>1327054000</v>
      </c>
      <c r="L25" s="1634">
        <v>1268901000</v>
      </c>
    </row>
    <row r="26" spans="1:12" ht="11.25" customHeight="1" x14ac:dyDescent="0.25">
      <c r="A26" s="326" t="str">
        <f>"Total "&amp;A22</f>
        <v>Total Property, plant and equipment (PPE)</v>
      </c>
      <c r="B26" s="293">
        <v>2</v>
      </c>
      <c r="C26" s="213">
        <f>SUM(C23:C24)-C25</f>
        <v>6221807321</v>
      </c>
      <c r="D26" s="213">
        <f t="shared" ref="D26:L26" si="4">SUM(D23:D24)-D25</f>
        <v>6397718211</v>
      </c>
      <c r="E26" s="214">
        <f t="shared" si="4"/>
        <v>6361749397</v>
      </c>
      <c r="F26" s="215">
        <f t="shared" si="4"/>
        <v>6708833917</v>
      </c>
      <c r="G26" s="213">
        <f t="shared" si="4"/>
        <v>6708833917</v>
      </c>
      <c r="H26" s="214">
        <f t="shared" si="4"/>
        <v>6708833917</v>
      </c>
      <c r="I26" s="212">
        <f t="shared" si="4"/>
        <v>6708833917</v>
      </c>
      <c r="J26" s="216">
        <f t="shared" si="4"/>
        <v>6504318165.1590004</v>
      </c>
      <c r="K26" s="213">
        <f t="shared" si="4"/>
        <v>6479146000</v>
      </c>
      <c r="L26" s="214">
        <f t="shared" si="4"/>
        <v>6661730219</v>
      </c>
    </row>
    <row r="27" spans="1:12" ht="5.15" customHeight="1" x14ac:dyDescent="0.25">
      <c r="A27" s="201"/>
      <c r="B27" s="293"/>
      <c r="C27" s="203"/>
      <c r="D27" s="203"/>
      <c r="E27" s="204"/>
      <c r="F27" s="205"/>
      <c r="G27" s="203"/>
      <c r="H27" s="204"/>
      <c r="I27" s="202"/>
      <c r="J27" s="206"/>
      <c r="K27" s="203"/>
      <c r="L27" s="204"/>
    </row>
    <row r="28" spans="1:12" ht="15.75" customHeight="1" x14ac:dyDescent="0.25">
      <c r="A28" s="407" t="s">
        <v>570</v>
      </c>
      <c r="B28" s="408"/>
      <c r="C28" s="409"/>
      <c r="D28" s="409"/>
      <c r="E28" s="410"/>
      <c r="F28" s="411"/>
      <c r="G28" s="409"/>
      <c r="H28" s="410"/>
      <c r="I28" s="412"/>
      <c r="J28" s="413"/>
      <c r="K28" s="409"/>
      <c r="L28" s="410"/>
    </row>
    <row r="29" spans="1:12" ht="11.25" customHeight="1" x14ac:dyDescent="0.25">
      <c r="A29" s="181" t="str">
        <f>'A6-FinPos'!A28&amp;" - "&amp;'A6-FinPos'!A30</f>
        <v>Current liabilities - Borrowing</v>
      </c>
      <c r="B29" s="293"/>
      <c r="C29" s="203"/>
      <c r="D29" s="203"/>
      <c r="E29" s="204"/>
      <c r="F29" s="205"/>
      <c r="G29" s="203"/>
      <c r="H29" s="204"/>
      <c r="I29" s="202"/>
      <c r="J29" s="206"/>
      <c r="K29" s="203"/>
      <c r="L29" s="204"/>
    </row>
    <row r="30" spans="1:12" ht="11.25" customHeight="1" x14ac:dyDescent="0.25">
      <c r="A30" s="190" t="s">
        <v>703</v>
      </c>
      <c r="B30" s="293"/>
      <c r="C30" s="1614"/>
      <c r="D30" s="1614"/>
      <c r="E30" s="1634">
        <v>0</v>
      </c>
      <c r="F30" s="1635"/>
      <c r="G30" s="1614"/>
      <c r="H30" s="1634"/>
      <c r="I30" s="1634"/>
      <c r="J30" s="1616"/>
      <c r="K30" s="1614"/>
      <c r="L30" s="1634"/>
    </row>
    <row r="31" spans="1:12" ht="11.25" customHeight="1" x14ac:dyDescent="0.25">
      <c r="A31" s="190" t="s">
        <v>1504</v>
      </c>
      <c r="B31" s="293"/>
      <c r="C31" s="1614">
        <v>3442950</v>
      </c>
      <c r="D31" s="1614">
        <v>2861443</v>
      </c>
      <c r="E31" s="1634">
        <f>43584148+2248130</f>
        <v>45832278</v>
      </c>
      <c r="F31" s="1635">
        <v>43584148</v>
      </c>
      <c r="G31" s="1614">
        <f>F31</f>
        <v>43584148</v>
      </c>
      <c r="H31" s="1634">
        <f>G31</f>
        <v>43584148</v>
      </c>
      <c r="I31" s="1634">
        <f>H31</f>
        <v>43584148</v>
      </c>
      <c r="J31" s="1614">
        <v>45198973</v>
      </c>
      <c r="K31" s="1634">
        <v>41701244</v>
      </c>
      <c r="L31" s="1634">
        <v>40783000</v>
      </c>
    </row>
    <row r="32" spans="1:12" ht="11.25" customHeight="1" x14ac:dyDescent="0.25">
      <c r="A32" s="326" t="str">
        <f>"Total "&amp;A29</f>
        <v>Total Current liabilities - Borrowing</v>
      </c>
      <c r="B32" s="293"/>
      <c r="C32" s="213">
        <f>SUM(C30:C31)</f>
        <v>3442950</v>
      </c>
      <c r="D32" s="213">
        <f t="shared" ref="D32:L32" si="5">SUM(D30:D31)</f>
        <v>2861443</v>
      </c>
      <c r="E32" s="214">
        <f t="shared" si="5"/>
        <v>45832278</v>
      </c>
      <c r="F32" s="215">
        <f t="shared" si="5"/>
        <v>43584148</v>
      </c>
      <c r="G32" s="213">
        <f t="shared" si="5"/>
        <v>43584148</v>
      </c>
      <c r="H32" s="214">
        <f t="shared" si="5"/>
        <v>43584148</v>
      </c>
      <c r="I32" s="212">
        <f t="shared" si="5"/>
        <v>43584148</v>
      </c>
      <c r="J32" s="216">
        <f t="shared" si="5"/>
        <v>45198973</v>
      </c>
      <c r="K32" s="213">
        <f t="shared" si="5"/>
        <v>41701244</v>
      </c>
      <c r="L32" s="214">
        <f t="shared" si="5"/>
        <v>40783000</v>
      </c>
    </row>
    <row r="33" spans="1:12" ht="5.15" customHeight="1" x14ac:dyDescent="0.25">
      <c r="A33" s="201"/>
      <c r="B33" s="293"/>
      <c r="C33" s="203"/>
      <c r="D33" s="203"/>
      <c r="E33" s="204"/>
      <c r="F33" s="205"/>
      <c r="G33" s="203"/>
      <c r="H33" s="204"/>
      <c r="I33" s="202"/>
      <c r="J33" s="206"/>
      <c r="K33" s="203"/>
      <c r="L33" s="204"/>
    </row>
    <row r="34" spans="1:12" ht="11.25" customHeight="1" x14ac:dyDescent="0.25">
      <c r="A34" s="181" t="str">
        <f>'A6-FinPos'!A32</f>
        <v>Trade and other payables</v>
      </c>
      <c r="B34" s="293"/>
      <c r="C34" s="315"/>
      <c r="D34" s="315"/>
      <c r="E34" s="318"/>
      <c r="F34" s="317"/>
      <c r="G34" s="315"/>
      <c r="H34" s="318"/>
      <c r="I34" s="316"/>
      <c r="J34" s="406"/>
      <c r="K34" s="315"/>
      <c r="L34" s="318"/>
    </row>
    <row r="35" spans="1:12" ht="11.25" customHeight="1" x14ac:dyDescent="0.25">
      <c r="A35" s="325" t="s">
        <v>957</v>
      </c>
      <c r="B35" s="293"/>
      <c r="C35" s="1614">
        <f>325955004+44526158</f>
        <v>370481162</v>
      </c>
      <c r="D35" s="1614">
        <f>325221892+39409376</f>
        <v>364631268</v>
      </c>
      <c r="E35" s="1634">
        <f>452056290+125000</f>
        <v>452181290</v>
      </c>
      <c r="F35" s="1635">
        <v>183466447</v>
      </c>
      <c r="G35" s="1614">
        <f>F35</f>
        <v>183466447</v>
      </c>
      <c r="H35" s="1634">
        <f>G35</f>
        <v>183466447</v>
      </c>
      <c r="I35" s="1634">
        <f>H35</f>
        <v>183466447</v>
      </c>
      <c r="J35" s="1614">
        <v>208602900</v>
      </c>
      <c r="K35" s="1634">
        <v>221119074</v>
      </c>
      <c r="L35" s="1634">
        <v>234386219</v>
      </c>
    </row>
    <row r="36" spans="1:12" ht="11.25" customHeight="1" x14ac:dyDescent="0.25">
      <c r="A36" s="325" t="s">
        <v>1068</v>
      </c>
      <c r="B36" s="293"/>
      <c r="C36" s="1614">
        <v>140882033</v>
      </c>
      <c r="D36" s="1614">
        <v>121163591</v>
      </c>
      <c r="E36" s="1634">
        <v>149447649</v>
      </c>
      <c r="F36" s="1635"/>
      <c r="G36" s="1614"/>
      <c r="H36" s="1634"/>
      <c r="I36" s="1634"/>
      <c r="J36" s="1614"/>
      <c r="K36" s="1634"/>
      <c r="L36" s="1634"/>
    </row>
    <row r="37" spans="1:12" ht="11.25" customHeight="1" x14ac:dyDescent="0.25">
      <c r="A37" s="325" t="s">
        <v>1503</v>
      </c>
      <c r="B37" s="293"/>
      <c r="C37" s="1614">
        <v>22512954</v>
      </c>
      <c r="D37" s="1614">
        <v>41558707</v>
      </c>
      <c r="E37" s="1634">
        <v>52659731</v>
      </c>
      <c r="F37" s="1635">
        <v>79141043</v>
      </c>
      <c r="G37" s="1614">
        <f>F37</f>
        <v>79141043</v>
      </c>
      <c r="H37" s="1634">
        <f>G37</f>
        <v>79141043</v>
      </c>
      <c r="I37" s="1634">
        <f>H37</f>
        <v>79141043</v>
      </c>
      <c r="J37" s="1614">
        <v>83335518.278999999</v>
      </c>
      <c r="K37" s="1634">
        <v>87418958.674670994</v>
      </c>
      <c r="L37" s="1634">
        <v>91790000</v>
      </c>
    </row>
    <row r="38" spans="1:12" ht="11.25" customHeight="1" x14ac:dyDescent="0.25">
      <c r="A38" s="326" t="str">
        <f>"Total "&amp;A34</f>
        <v>Total Trade and other payables</v>
      </c>
      <c r="B38" s="293">
        <v>2</v>
      </c>
      <c r="C38" s="213">
        <f t="shared" ref="C38:K38" si="6">SUM(C35:C37)</f>
        <v>533876149</v>
      </c>
      <c r="D38" s="213">
        <f t="shared" si="6"/>
        <v>527353566</v>
      </c>
      <c r="E38" s="214">
        <f t="shared" si="6"/>
        <v>654288670</v>
      </c>
      <c r="F38" s="215">
        <f t="shared" si="6"/>
        <v>262607490</v>
      </c>
      <c r="G38" s="213">
        <f t="shared" si="6"/>
        <v>262607490</v>
      </c>
      <c r="H38" s="214">
        <f t="shared" si="6"/>
        <v>262607490</v>
      </c>
      <c r="I38" s="212">
        <f t="shared" si="6"/>
        <v>262607490</v>
      </c>
      <c r="J38" s="216">
        <f t="shared" si="6"/>
        <v>291938418.27899998</v>
      </c>
      <c r="K38" s="213">
        <f t="shared" si="6"/>
        <v>308538032.67467099</v>
      </c>
      <c r="L38" s="214">
        <f>SUM(L35:L37)</f>
        <v>326176219</v>
      </c>
    </row>
    <row r="39" spans="1:12" ht="5.15" customHeight="1" x14ac:dyDescent="0.25">
      <c r="A39" s="201"/>
      <c r="B39" s="293"/>
      <c r="C39" s="203"/>
      <c r="D39" s="203"/>
      <c r="E39" s="204"/>
      <c r="F39" s="205"/>
      <c r="G39" s="203"/>
      <c r="H39" s="204"/>
      <c r="I39" s="202"/>
      <c r="J39" s="206"/>
      <c r="K39" s="203"/>
      <c r="L39" s="204"/>
    </row>
    <row r="40" spans="1:12" ht="11.25" customHeight="1" x14ac:dyDescent="0.25">
      <c r="A40" s="181" t="str">
        <f>'A6-FinPos'!A36&amp;" - "&amp;'A6-FinPos'!A37</f>
        <v>Non current liabilities - Borrowing</v>
      </c>
      <c r="B40" s="293"/>
      <c r="C40" s="203"/>
      <c r="D40" s="203"/>
      <c r="E40" s="204"/>
      <c r="F40" s="205"/>
      <c r="G40" s="203"/>
      <c r="H40" s="204"/>
      <c r="I40" s="202"/>
      <c r="J40" s="206"/>
      <c r="K40" s="203"/>
      <c r="L40" s="204"/>
    </row>
    <row r="41" spans="1:12" ht="11.25" customHeight="1" x14ac:dyDescent="0.25">
      <c r="A41" s="190" t="s">
        <v>1280</v>
      </c>
      <c r="B41" s="293">
        <v>4</v>
      </c>
      <c r="C41" s="1614">
        <v>562978504</v>
      </c>
      <c r="D41" s="1614">
        <v>514615504</v>
      </c>
      <c r="E41" s="1634">
        <f>22398604-2036237</f>
        <v>20362367</v>
      </c>
      <c r="F41" s="1635">
        <v>647309128</v>
      </c>
      <c r="G41" s="1614">
        <f>F41</f>
        <v>647309128</v>
      </c>
      <c r="H41" s="1634">
        <f>G41</f>
        <v>647309128</v>
      </c>
      <c r="I41" s="1634">
        <f>H41</f>
        <v>647309128</v>
      </c>
      <c r="J41" s="1614">
        <v>573000000</v>
      </c>
      <c r="K41" s="1634">
        <v>503000000</v>
      </c>
      <c r="L41" s="1634">
        <v>430000000</v>
      </c>
    </row>
    <row r="42" spans="1:12" ht="11.25" customHeight="1" x14ac:dyDescent="0.25">
      <c r="A42" s="190" t="s">
        <v>1044</v>
      </c>
      <c r="B42" s="293"/>
      <c r="C42" s="1614">
        <v>7150234</v>
      </c>
      <c r="D42" s="1614">
        <v>4326449</v>
      </c>
      <c r="E42" s="1634">
        <v>2008302</v>
      </c>
      <c r="F42" s="1635"/>
      <c r="G42" s="1614"/>
      <c r="H42" s="1634"/>
      <c r="I42" s="1634"/>
      <c r="J42" s="1614"/>
      <c r="K42" s="1634"/>
      <c r="L42" s="1634"/>
    </row>
    <row r="43" spans="1:12" ht="11.25" customHeight="1" x14ac:dyDescent="0.25">
      <c r="A43" s="326" t="str">
        <f>"Total "&amp;A40</f>
        <v>Total Non current liabilities - Borrowing</v>
      </c>
      <c r="B43" s="293"/>
      <c r="C43" s="213">
        <f>SUM(C41:C42)</f>
        <v>570128738</v>
      </c>
      <c r="D43" s="213">
        <f t="shared" ref="D43:L43" si="7">SUM(D41:D42)</f>
        <v>518941953</v>
      </c>
      <c r="E43" s="214">
        <f t="shared" si="7"/>
        <v>22370669</v>
      </c>
      <c r="F43" s="215">
        <f t="shared" si="7"/>
        <v>647309128</v>
      </c>
      <c r="G43" s="213">
        <f t="shared" si="7"/>
        <v>647309128</v>
      </c>
      <c r="H43" s="214">
        <f t="shared" si="7"/>
        <v>647309128</v>
      </c>
      <c r="I43" s="212">
        <f t="shared" si="7"/>
        <v>647309128</v>
      </c>
      <c r="J43" s="216">
        <f t="shared" si="7"/>
        <v>573000000</v>
      </c>
      <c r="K43" s="213">
        <f t="shared" si="7"/>
        <v>503000000</v>
      </c>
      <c r="L43" s="214">
        <f t="shared" si="7"/>
        <v>430000000</v>
      </c>
    </row>
    <row r="44" spans="1:12" ht="5.15" customHeight="1" x14ac:dyDescent="0.25">
      <c r="A44" s="201"/>
      <c r="B44" s="293"/>
      <c r="C44" s="203"/>
      <c r="D44" s="203"/>
      <c r="E44" s="204"/>
      <c r="F44" s="205"/>
      <c r="G44" s="203"/>
      <c r="H44" s="204"/>
      <c r="I44" s="202"/>
      <c r="J44" s="206"/>
      <c r="K44" s="203"/>
      <c r="L44" s="204"/>
    </row>
    <row r="45" spans="1:12" ht="11.25" customHeight="1" x14ac:dyDescent="0.25">
      <c r="A45" s="181" t="str">
        <f>'A6-FinPos'!A38&amp;" - non-current"</f>
        <v>Provisions - non-current</v>
      </c>
      <c r="B45" s="293"/>
      <c r="C45" s="203"/>
      <c r="D45" s="203"/>
      <c r="E45" s="204"/>
      <c r="F45" s="205"/>
      <c r="G45" s="203"/>
      <c r="H45" s="204"/>
      <c r="I45" s="202"/>
      <c r="J45" s="206"/>
      <c r="K45" s="203"/>
      <c r="L45" s="204"/>
    </row>
    <row r="46" spans="1:12" ht="11.25" customHeight="1" x14ac:dyDescent="0.25">
      <c r="A46" s="190" t="s">
        <v>1343</v>
      </c>
      <c r="B46" s="293"/>
      <c r="C46" s="1614">
        <v>151097282</v>
      </c>
      <c r="D46" s="1614">
        <v>211638188</v>
      </c>
      <c r="E46" s="1634">
        <v>285724124</v>
      </c>
      <c r="F46" s="1635">
        <v>0</v>
      </c>
      <c r="G46" s="1614">
        <v>0</v>
      </c>
      <c r="H46" s="1634">
        <v>0</v>
      </c>
      <c r="I46" s="1636">
        <v>0</v>
      </c>
      <c r="J46" s="1616">
        <v>0</v>
      </c>
      <c r="K46" s="1614">
        <v>0</v>
      </c>
      <c r="L46" s="1634"/>
    </row>
    <row r="47" spans="1:12" ht="11.25" customHeight="1" x14ac:dyDescent="0.25">
      <c r="A47" s="416" t="s">
        <v>1345</v>
      </c>
      <c r="B47" s="293"/>
      <c r="C47" s="203"/>
      <c r="D47" s="203"/>
      <c r="E47" s="204"/>
      <c r="F47" s="205"/>
      <c r="G47" s="203"/>
      <c r="H47" s="204"/>
      <c r="I47" s="202"/>
      <c r="J47" s="206"/>
      <c r="K47" s="203"/>
      <c r="L47" s="204"/>
    </row>
    <row r="48" spans="1:12" ht="11.25" customHeight="1" x14ac:dyDescent="0.25">
      <c r="A48" s="1633" t="s">
        <v>280</v>
      </c>
      <c r="B48" s="293"/>
      <c r="C48" s="1614">
        <v>3623648</v>
      </c>
      <c r="D48" s="1614">
        <v>20362367</v>
      </c>
      <c r="E48" s="1634">
        <v>2036237</v>
      </c>
      <c r="F48" s="1614">
        <v>0</v>
      </c>
      <c r="G48" s="1614">
        <v>0</v>
      </c>
      <c r="H48" s="1614">
        <v>0</v>
      </c>
      <c r="I48" s="1614">
        <v>0</v>
      </c>
      <c r="J48" s="1614">
        <v>0</v>
      </c>
      <c r="K48" s="1614">
        <v>0</v>
      </c>
      <c r="L48" s="1634"/>
    </row>
    <row r="49" spans="1:12" ht="11.25" customHeight="1" x14ac:dyDescent="0.25">
      <c r="A49" s="1633" t="s">
        <v>292</v>
      </c>
      <c r="B49" s="293"/>
      <c r="C49" s="1614">
        <v>0</v>
      </c>
      <c r="D49" s="1614">
        <v>0</v>
      </c>
      <c r="E49" s="1634">
        <v>575954199</v>
      </c>
      <c r="F49" s="1635">
        <v>2585336</v>
      </c>
      <c r="G49" s="1614">
        <f>F49</f>
        <v>2585336</v>
      </c>
      <c r="H49" s="1634">
        <f>G49</f>
        <v>2585336</v>
      </c>
      <c r="I49" s="1634">
        <f>H49</f>
        <v>2585336</v>
      </c>
      <c r="J49" s="1614">
        <v>0</v>
      </c>
      <c r="K49" s="1634">
        <v>0</v>
      </c>
      <c r="L49" s="1634">
        <v>0</v>
      </c>
    </row>
    <row r="50" spans="1:12" ht="11.25" customHeight="1" x14ac:dyDescent="0.25">
      <c r="A50" s="326" t="str">
        <f>"Total "&amp;A45</f>
        <v>Total Provisions - non-current</v>
      </c>
      <c r="B50" s="293"/>
      <c r="C50" s="213">
        <f t="shared" ref="C50:L50" si="8">SUM(C46:C49)</f>
        <v>154720930</v>
      </c>
      <c r="D50" s="213">
        <f t="shared" si="8"/>
        <v>232000555</v>
      </c>
      <c r="E50" s="214">
        <f t="shared" si="8"/>
        <v>863714560</v>
      </c>
      <c r="F50" s="215">
        <f t="shared" si="8"/>
        <v>2585336</v>
      </c>
      <c r="G50" s="213">
        <f t="shared" si="8"/>
        <v>2585336</v>
      </c>
      <c r="H50" s="214">
        <f t="shared" si="8"/>
        <v>2585336</v>
      </c>
      <c r="I50" s="212">
        <f t="shared" si="8"/>
        <v>2585336</v>
      </c>
      <c r="J50" s="216">
        <f t="shared" si="8"/>
        <v>0</v>
      </c>
      <c r="K50" s="213">
        <f t="shared" si="8"/>
        <v>0</v>
      </c>
      <c r="L50" s="214">
        <f t="shared" si="8"/>
        <v>0</v>
      </c>
    </row>
    <row r="51" spans="1:12" ht="5.15" customHeight="1" x14ac:dyDescent="0.25">
      <c r="A51" s="201"/>
      <c r="B51" s="293"/>
      <c r="C51" s="203"/>
      <c r="D51" s="203"/>
      <c r="E51" s="204"/>
      <c r="F51" s="205"/>
      <c r="G51" s="203"/>
      <c r="H51" s="204"/>
      <c r="I51" s="202"/>
      <c r="J51" s="206"/>
      <c r="K51" s="203"/>
      <c r="L51" s="204"/>
    </row>
    <row r="52" spans="1:12" ht="15.75" customHeight="1" x14ac:dyDescent="0.25">
      <c r="A52" s="428" t="s">
        <v>1067</v>
      </c>
      <c r="B52" s="408"/>
      <c r="C52" s="409"/>
      <c r="D52" s="409"/>
      <c r="E52" s="410"/>
      <c r="F52" s="411"/>
      <c r="G52" s="409"/>
      <c r="H52" s="410"/>
      <c r="I52" s="412"/>
      <c r="J52" s="413"/>
      <c r="K52" s="409"/>
      <c r="L52" s="410"/>
    </row>
    <row r="53" spans="1:12" ht="11.25" customHeight="1" x14ac:dyDescent="0.25">
      <c r="A53" s="402" t="str">
        <f>'A6-FinPos'!A45</f>
        <v>Accumulated Surplus/(Deficit)</v>
      </c>
      <c r="B53" s="293"/>
      <c r="C53" s="203"/>
      <c r="D53" s="203"/>
      <c r="E53" s="204"/>
      <c r="F53" s="205"/>
      <c r="G53" s="203"/>
      <c r="H53" s="204"/>
      <c r="I53" s="202"/>
      <c r="J53" s="206"/>
      <c r="K53" s="203"/>
      <c r="L53" s="204"/>
    </row>
    <row r="54" spans="1:12" ht="11.25" customHeight="1" x14ac:dyDescent="0.25">
      <c r="A54" s="190" t="str">
        <f>A53&amp;" - opening balance"</f>
        <v>Accumulated Surplus/(Deficit) - opening balance</v>
      </c>
      <c r="B54" s="293"/>
      <c r="C54" s="1614">
        <f>5245543499+850396715</f>
        <v>6095940214</v>
      </c>
      <c r="D54" s="1614">
        <f>6153197489-115782764</f>
        <v>6037414725</v>
      </c>
      <c r="E54" s="1634">
        <f>6008953000+1590</f>
        <v>6008954590</v>
      </c>
      <c r="F54" s="1635">
        <f>7483964094.9+235158000-258080794</f>
        <v>7461041300.8999996</v>
      </c>
      <c r="G54" s="1614">
        <f>F54-125379973+258080794</f>
        <v>7593742121.8999996</v>
      </c>
      <c r="H54" s="1634">
        <f>G54-1474</f>
        <v>7593740647.8999996</v>
      </c>
      <c r="I54" s="1634">
        <f>H54+620</f>
        <v>7593741267.8999996</v>
      </c>
      <c r="J54" s="1614">
        <f>727914000+6538389000+185-0.41</f>
        <v>7266303184.5900002</v>
      </c>
      <c r="K54" s="1634">
        <f>8376278466.88586-1107568862+180-0.17</f>
        <v>7268709784.7158604</v>
      </c>
      <c r="L54" s="1634">
        <f>8656824233+0.39</f>
        <v>8656824233.3899994</v>
      </c>
    </row>
    <row r="55" spans="1:12" ht="11.25" customHeight="1" x14ac:dyDescent="0.25">
      <c r="A55" s="190" t="s">
        <v>1691</v>
      </c>
      <c r="B55" s="293"/>
      <c r="C55" s="1614"/>
      <c r="D55" s="1614"/>
      <c r="E55" s="1634"/>
      <c r="F55" s="1635"/>
      <c r="G55" s="1614"/>
      <c r="H55" s="1634"/>
      <c r="I55" s="1634"/>
      <c r="J55" s="1614"/>
      <c r="K55" s="1634"/>
      <c r="L55" s="1634"/>
    </row>
    <row r="56" spans="1:12" ht="11.25" customHeight="1" x14ac:dyDescent="0.25">
      <c r="A56" s="190" t="s">
        <v>1693</v>
      </c>
      <c r="B56" s="293"/>
      <c r="C56" s="203">
        <f>SUM(C54:C55)</f>
        <v>6095940214</v>
      </c>
      <c r="D56" s="203">
        <f>SUM(D54:D55)</f>
        <v>6037414725</v>
      </c>
      <c r="E56" s="204">
        <f>SUM(E54:E55)</f>
        <v>6008954590</v>
      </c>
      <c r="F56" s="205">
        <f t="shared" ref="F56:L56" si="9">SUM(F54:F55)</f>
        <v>7461041300.8999996</v>
      </c>
      <c r="G56" s="203">
        <f t="shared" si="9"/>
        <v>7593742121.8999996</v>
      </c>
      <c r="H56" s="204">
        <f t="shared" si="9"/>
        <v>7593740647.8999996</v>
      </c>
      <c r="I56" s="202">
        <f t="shared" si="9"/>
        <v>7593741267.8999996</v>
      </c>
      <c r="J56" s="206">
        <f t="shared" si="9"/>
        <v>7266303184.5900002</v>
      </c>
      <c r="K56" s="203">
        <f t="shared" si="9"/>
        <v>7268709784.7158604</v>
      </c>
      <c r="L56" s="204">
        <f t="shared" si="9"/>
        <v>8656824233.3899994</v>
      </c>
    </row>
    <row r="57" spans="1:12" ht="11.25" customHeight="1" x14ac:dyDescent="0.25">
      <c r="A57" s="190" t="str">
        <f>'A4-FinPerf RE'!A38</f>
        <v>Surplus/(Deficit)</v>
      </c>
      <c r="B57" s="293"/>
      <c r="C57" s="207">
        <f>'A4-FinPerf RE'!C46</f>
        <v>-231264432</v>
      </c>
      <c r="D57" s="207">
        <f>'A4-FinPerf RE'!D46</f>
        <v>94779189</v>
      </c>
      <c r="E57" s="264">
        <f>'A4-FinPerf RE'!E46</f>
        <v>234467772.44999981</v>
      </c>
      <c r="F57" s="251">
        <f>'A4-FinPerf RE'!F46</f>
        <v>5143793.5351138115</v>
      </c>
      <c r="G57" s="203">
        <f>'A4-FinPerf RE'!G46</f>
        <v>8791034</v>
      </c>
      <c r="H57" s="204">
        <f>'A4-FinPerf RE'!H46</f>
        <v>8792508</v>
      </c>
      <c r="I57" s="202">
        <f>'A4-FinPerf RE'!I46</f>
        <v>8791888</v>
      </c>
      <c r="J57" s="211">
        <f>'A4-FinPerf RE'!J46</f>
        <v>66585819</v>
      </c>
      <c r="K57" s="207">
        <f>'A4-FinPerf RE'!K46</f>
        <v>64556904</v>
      </c>
      <c r="L57" s="204">
        <f>'A4-FinPerf RE'!L46</f>
        <v>50000766.606109142</v>
      </c>
    </row>
    <row r="58" spans="1:12" ht="11.25" customHeight="1" x14ac:dyDescent="0.25">
      <c r="A58" s="190" t="s">
        <v>1689</v>
      </c>
      <c r="B58" s="293"/>
      <c r="C58" s="1614">
        <v>0</v>
      </c>
      <c r="D58" s="1614">
        <v>0</v>
      </c>
      <c r="E58" s="1614">
        <v>0</v>
      </c>
      <c r="F58" s="1614">
        <v>0</v>
      </c>
      <c r="G58" s="1614">
        <v>0</v>
      </c>
      <c r="H58" s="1614">
        <v>0</v>
      </c>
      <c r="I58" s="1614">
        <v>0</v>
      </c>
      <c r="J58" s="1614">
        <v>0</v>
      </c>
      <c r="K58" s="1614">
        <v>0</v>
      </c>
      <c r="L58" s="1614">
        <v>0</v>
      </c>
    </row>
    <row r="59" spans="1:12" ht="11.25" customHeight="1" x14ac:dyDescent="0.25">
      <c r="A59" s="190" t="s">
        <v>1690</v>
      </c>
      <c r="B59" s="293"/>
      <c r="C59" s="1614">
        <v>0</v>
      </c>
      <c r="D59" s="1614">
        <v>0</v>
      </c>
      <c r="E59" s="1614">
        <v>0</v>
      </c>
      <c r="F59" s="1614">
        <v>0</v>
      </c>
      <c r="G59" s="1614">
        <v>0</v>
      </c>
      <c r="H59" s="1614">
        <v>0</v>
      </c>
      <c r="I59" s="1614">
        <v>0</v>
      </c>
      <c r="J59" s="1614">
        <v>0</v>
      </c>
      <c r="K59" s="1614">
        <v>0</v>
      </c>
      <c r="L59" s="1614">
        <v>0</v>
      </c>
    </row>
    <row r="60" spans="1:12" ht="11.25" customHeight="1" x14ac:dyDescent="0.25">
      <c r="A60" s="190" t="s">
        <v>1335</v>
      </c>
      <c r="B60" s="293"/>
      <c r="C60" s="1614">
        <v>0</v>
      </c>
      <c r="D60" s="1614">
        <v>0</v>
      </c>
      <c r="E60" s="1614">
        <v>0</v>
      </c>
      <c r="F60" s="1614">
        <v>0</v>
      </c>
      <c r="G60" s="1614">
        <v>0</v>
      </c>
      <c r="H60" s="1614">
        <v>0</v>
      </c>
      <c r="I60" s="1614">
        <v>0</v>
      </c>
      <c r="J60" s="1614">
        <v>0</v>
      </c>
      <c r="K60" s="1614">
        <v>0</v>
      </c>
      <c r="L60" s="1614">
        <v>0</v>
      </c>
    </row>
    <row r="61" spans="1:12" ht="11.25" customHeight="1" x14ac:dyDescent="0.25">
      <c r="A61" s="190" t="s">
        <v>1692</v>
      </c>
      <c r="B61" s="293"/>
      <c r="C61" s="1614">
        <v>0</v>
      </c>
      <c r="D61" s="1614">
        <v>0</v>
      </c>
      <c r="E61" s="1614">
        <v>0</v>
      </c>
      <c r="F61" s="1618">
        <v>0</v>
      </c>
      <c r="G61" s="1614">
        <v>0</v>
      </c>
      <c r="H61" s="1634">
        <f>F61+G61</f>
        <v>0</v>
      </c>
      <c r="I61" s="1634">
        <f>G61+H61</f>
        <v>0</v>
      </c>
      <c r="J61" s="1053">
        <v>266161398.94002342</v>
      </c>
      <c r="K61" s="1617">
        <v>252327371.27297211</v>
      </c>
      <c r="L61" s="1634"/>
    </row>
    <row r="62" spans="1:12" ht="11.25" customHeight="1" x14ac:dyDescent="0.25">
      <c r="A62" s="1288" t="s">
        <v>424</v>
      </c>
      <c r="B62" s="293">
        <v>1</v>
      </c>
      <c r="C62" s="213">
        <f>SUM(C56:C61)</f>
        <v>5864675782</v>
      </c>
      <c r="D62" s="213">
        <f>SUM(D56:D61)</f>
        <v>6132193914</v>
      </c>
      <c r="E62" s="214">
        <f t="shared" ref="E62:L62" si="10">SUM(E56:E61)</f>
        <v>6243422362.4499998</v>
      </c>
      <c r="F62" s="215">
        <f t="shared" si="10"/>
        <v>7466185094.4351139</v>
      </c>
      <c r="G62" s="213">
        <f t="shared" si="10"/>
        <v>7602533155.8999996</v>
      </c>
      <c r="H62" s="214">
        <f t="shared" si="10"/>
        <v>7602533155.8999996</v>
      </c>
      <c r="I62" s="212">
        <f t="shared" si="10"/>
        <v>7602533155.8999996</v>
      </c>
      <c r="J62" s="216">
        <f t="shared" si="10"/>
        <v>7599050402.5300236</v>
      </c>
      <c r="K62" s="213">
        <f t="shared" si="10"/>
        <v>7585594059.9888325</v>
      </c>
      <c r="L62" s="214">
        <f t="shared" si="10"/>
        <v>8706824999.996109</v>
      </c>
    </row>
    <row r="63" spans="1:12" ht="11.25" customHeight="1" x14ac:dyDescent="0.25">
      <c r="A63" s="181" t="s">
        <v>751</v>
      </c>
      <c r="B63" s="295"/>
      <c r="C63" s="203"/>
      <c r="D63" s="203"/>
      <c r="E63" s="204"/>
      <c r="F63" s="205"/>
      <c r="G63" s="203"/>
      <c r="H63" s="204"/>
      <c r="I63" s="202"/>
      <c r="J63" s="206"/>
      <c r="K63" s="203"/>
      <c r="L63" s="204"/>
    </row>
    <row r="64" spans="1:12" ht="11.25" customHeight="1" x14ac:dyDescent="0.25">
      <c r="A64" s="325" t="s">
        <v>105</v>
      </c>
      <c r="B64" s="293"/>
      <c r="C64" s="1614">
        <f>52480002</f>
        <v>52480002</v>
      </c>
      <c r="D64" s="1614">
        <v>53213896</v>
      </c>
      <c r="E64" s="1634">
        <v>55525904</v>
      </c>
      <c r="F64" s="1635">
        <v>54437827</v>
      </c>
      <c r="G64" s="1614">
        <v>54438000</v>
      </c>
      <c r="H64" s="1634">
        <f>G64</f>
        <v>54438000</v>
      </c>
      <c r="I64" s="1634">
        <f>H64</f>
        <v>54438000</v>
      </c>
      <c r="J64" s="1614">
        <v>57323031.831</v>
      </c>
      <c r="K64" s="1634">
        <v>60131860.390718997</v>
      </c>
      <c r="L64" s="1634"/>
    </row>
    <row r="65" spans="1:12" ht="11.25" customHeight="1" x14ac:dyDescent="0.25">
      <c r="A65" s="325" t="s">
        <v>1496</v>
      </c>
      <c r="B65" s="293"/>
      <c r="C65" s="1614"/>
      <c r="D65" s="1614"/>
      <c r="E65" s="1614">
        <v>0</v>
      </c>
      <c r="F65" s="1614">
        <v>0</v>
      </c>
      <c r="G65" s="1614">
        <v>0</v>
      </c>
      <c r="H65" s="1634">
        <f>F65+G65</f>
        <v>0</v>
      </c>
      <c r="I65" s="1634">
        <f>G65+H65</f>
        <v>0</v>
      </c>
      <c r="J65" s="1614"/>
      <c r="K65" s="1634"/>
      <c r="L65" s="1634"/>
    </row>
    <row r="66" spans="1:12" ht="11.25" customHeight="1" x14ac:dyDescent="0.25">
      <c r="A66" s="325" t="s">
        <v>1497</v>
      </c>
      <c r="B66" s="293"/>
      <c r="C66" s="1614"/>
      <c r="D66" s="1614"/>
      <c r="E66" s="1614">
        <v>0</v>
      </c>
      <c r="F66" s="1635">
        <v>-1179917</v>
      </c>
      <c r="G66" s="1614">
        <v>-1180000</v>
      </c>
      <c r="H66" s="1634">
        <f>G66</f>
        <v>-1180000</v>
      </c>
      <c r="I66" s="1634">
        <f>H66</f>
        <v>-1180000</v>
      </c>
      <c r="J66" s="1614">
        <v>-1242452.601</v>
      </c>
      <c r="K66" s="1634">
        <v>-1303332.7784489999</v>
      </c>
      <c r="L66" s="1634"/>
    </row>
    <row r="67" spans="1:12" ht="11.25" customHeight="1" x14ac:dyDescent="0.25">
      <c r="A67" s="1633" t="s">
        <v>2071</v>
      </c>
      <c r="B67" s="293"/>
      <c r="C67" s="1614"/>
      <c r="D67" s="1614"/>
      <c r="E67" s="1614">
        <v>0</v>
      </c>
      <c r="F67" s="1614">
        <v>0</v>
      </c>
      <c r="G67" s="1614">
        <v>0</v>
      </c>
      <c r="H67" s="1614">
        <v>0</v>
      </c>
      <c r="I67" s="1614">
        <v>0</v>
      </c>
      <c r="J67" s="1614">
        <v>0</v>
      </c>
      <c r="K67" s="1614">
        <v>0</v>
      </c>
      <c r="L67" s="1634">
        <v>53214000</v>
      </c>
    </row>
    <row r="68" spans="1:12" ht="11.25" customHeight="1" x14ac:dyDescent="0.25">
      <c r="A68" s="325" t="s">
        <v>1495</v>
      </c>
      <c r="B68" s="293"/>
      <c r="C68" s="1614"/>
      <c r="D68" s="1614"/>
      <c r="E68" s="1614">
        <v>0</v>
      </c>
      <c r="F68" s="1614">
        <v>0</v>
      </c>
      <c r="G68" s="1614">
        <v>0</v>
      </c>
      <c r="H68" s="1614">
        <v>0</v>
      </c>
      <c r="I68" s="1614">
        <v>0</v>
      </c>
      <c r="J68" s="1614">
        <v>0</v>
      </c>
      <c r="K68" s="1614">
        <v>0</v>
      </c>
      <c r="L68" s="1634"/>
    </row>
    <row r="69" spans="1:12" ht="11.25" customHeight="1" x14ac:dyDescent="0.25">
      <c r="A69" s="326" t="s">
        <v>1081</v>
      </c>
      <c r="B69" s="293">
        <v>2</v>
      </c>
      <c r="C69" s="213">
        <f t="shared" ref="C69:L69" si="11">SUM(C64:C68)</f>
        <v>52480002</v>
      </c>
      <c r="D69" s="213">
        <f t="shared" si="11"/>
        <v>53213896</v>
      </c>
      <c r="E69" s="214">
        <f t="shared" si="11"/>
        <v>55525904</v>
      </c>
      <c r="F69" s="215">
        <f t="shared" si="11"/>
        <v>53257910</v>
      </c>
      <c r="G69" s="213">
        <f t="shared" si="11"/>
        <v>53258000</v>
      </c>
      <c r="H69" s="214">
        <f t="shared" si="11"/>
        <v>53258000</v>
      </c>
      <c r="I69" s="212">
        <f t="shared" si="11"/>
        <v>53258000</v>
      </c>
      <c r="J69" s="216">
        <f t="shared" si="11"/>
        <v>56080579.229999997</v>
      </c>
      <c r="K69" s="213">
        <f t="shared" si="11"/>
        <v>58828527.612269998</v>
      </c>
      <c r="L69" s="214">
        <f t="shared" si="11"/>
        <v>53214000</v>
      </c>
    </row>
    <row r="70" spans="1:12" x14ac:dyDescent="0.25">
      <c r="A70" s="429" t="str">
        <f>'A6-FinPos'!A48</f>
        <v>TOTAL COMMUNITY WEALTH/EQUITY</v>
      </c>
      <c r="B70" s="306">
        <v>2</v>
      </c>
      <c r="C70" s="230">
        <f t="shared" ref="C70:L70" si="12">C62+C69</f>
        <v>5917155784</v>
      </c>
      <c r="D70" s="230">
        <f t="shared" si="12"/>
        <v>6185407810</v>
      </c>
      <c r="E70" s="228">
        <f t="shared" si="12"/>
        <v>6298948266.4499998</v>
      </c>
      <c r="F70" s="229">
        <f t="shared" si="12"/>
        <v>7519443004.4351139</v>
      </c>
      <c r="G70" s="230">
        <f t="shared" si="12"/>
        <v>7655791155.8999996</v>
      </c>
      <c r="H70" s="228">
        <f t="shared" si="12"/>
        <v>7655791155.8999996</v>
      </c>
      <c r="I70" s="231">
        <f t="shared" si="12"/>
        <v>7655791155.8999996</v>
      </c>
      <c r="J70" s="232">
        <f t="shared" si="12"/>
        <v>7655130981.7600231</v>
      </c>
      <c r="K70" s="230">
        <f t="shared" si="12"/>
        <v>7644422587.6011028</v>
      </c>
      <c r="L70" s="228">
        <f t="shared" si="12"/>
        <v>8760038999.996109</v>
      </c>
    </row>
    <row r="71" spans="1:12" ht="5.15" customHeight="1" x14ac:dyDescent="0.25">
      <c r="A71" s="237"/>
      <c r="B71" s="430"/>
      <c r="C71" s="238"/>
      <c r="D71" s="238"/>
      <c r="E71" s="238"/>
      <c r="F71" s="238"/>
      <c r="G71" s="238"/>
      <c r="H71" s="238"/>
      <c r="I71" s="238"/>
      <c r="J71" s="238"/>
      <c r="K71" s="238"/>
      <c r="L71" s="238"/>
    </row>
    <row r="72" spans="1:12" ht="13" x14ac:dyDescent="0.3">
      <c r="A72" s="147" t="s">
        <v>1346</v>
      </c>
      <c r="B72" s="147"/>
      <c r="C72" s="147"/>
      <c r="D72" s="147"/>
      <c r="E72" s="147"/>
      <c r="F72" s="147"/>
      <c r="G72" s="147"/>
      <c r="H72" s="147"/>
      <c r="I72" s="147"/>
      <c r="J72" s="147"/>
      <c r="K72" s="147"/>
      <c r="L72" s="147"/>
    </row>
    <row r="73" spans="1:12" x14ac:dyDescent="0.25">
      <c r="A73" s="431" t="s">
        <v>1458</v>
      </c>
      <c r="B73" s="432"/>
      <c r="C73" s="1686"/>
      <c r="D73" s="1686"/>
      <c r="E73" s="1687"/>
      <c r="F73" s="1688"/>
      <c r="G73" s="1686"/>
      <c r="H73" s="1687"/>
      <c r="I73" s="1689"/>
      <c r="J73" s="1690"/>
      <c r="K73" s="1686"/>
      <c r="L73" s="1687"/>
    </row>
    <row r="74" spans="1:12" x14ac:dyDescent="0.25">
      <c r="A74" s="2164"/>
      <c r="B74" s="236"/>
      <c r="C74" s="1614"/>
      <c r="D74" s="1614"/>
      <c r="E74" s="1634"/>
      <c r="F74" s="1635"/>
      <c r="G74" s="1614"/>
      <c r="H74" s="1634"/>
      <c r="I74" s="1636"/>
      <c r="J74" s="1616"/>
      <c r="K74" s="1614"/>
      <c r="L74" s="1634"/>
    </row>
    <row r="75" spans="1:12" x14ac:dyDescent="0.25">
      <c r="A75" s="1685"/>
      <c r="B75" s="337"/>
      <c r="C75" s="1691"/>
      <c r="D75" s="1691"/>
      <c r="E75" s="1692"/>
      <c r="F75" s="1693"/>
      <c r="G75" s="1691"/>
      <c r="H75" s="1692"/>
      <c r="I75" s="1694"/>
      <c r="J75" s="1695"/>
      <c r="K75" s="1691"/>
      <c r="L75" s="1692"/>
    </row>
    <row r="76" spans="1:12" ht="11.25" customHeight="1" x14ac:dyDescent="0.25">
      <c r="A76" s="235" t="str">
        <f>head27a</f>
        <v>References</v>
      </c>
      <c r="B76" s="236"/>
      <c r="C76" s="241"/>
      <c r="D76" s="241"/>
      <c r="E76" s="241"/>
      <c r="F76" s="241"/>
      <c r="G76" s="241"/>
      <c r="H76" s="241"/>
      <c r="I76" s="241"/>
      <c r="J76" s="241"/>
      <c r="K76" s="241"/>
      <c r="L76" s="241"/>
    </row>
    <row r="77" spans="1:12" ht="11.25" customHeight="1" x14ac:dyDescent="0.25">
      <c r="A77" s="287" t="str">
        <f>"1. Must reconcile with "&amp;'Template names'!F103</f>
        <v>1. Must reconcile with Table A4 Budgeted Financial Performance (revenue and expenditure)</v>
      </c>
      <c r="B77" s="236"/>
      <c r="C77" s="240"/>
      <c r="D77" s="240"/>
      <c r="E77" s="241"/>
      <c r="F77" s="241"/>
      <c r="G77" s="241"/>
      <c r="H77" s="241"/>
      <c r="I77" s="241"/>
      <c r="J77" s="241"/>
      <c r="K77" s="241"/>
      <c r="L77" s="241"/>
    </row>
    <row r="78" spans="1:12" ht="11.25" customHeight="1" x14ac:dyDescent="0.25">
      <c r="A78" s="287" t="str">
        <f>"2. Must reconcile with "&amp;'Template names'!F105</f>
        <v>2. Must reconcile with Table A6 Budgeted Financial Position</v>
      </c>
      <c r="B78" s="236"/>
      <c r="C78" s="240"/>
      <c r="D78" s="240"/>
      <c r="E78" s="241"/>
      <c r="F78" s="241"/>
      <c r="G78" s="241"/>
      <c r="H78" s="241"/>
      <c r="I78" s="241"/>
      <c r="J78" s="241"/>
      <c r="K78" s="241"/>
      <c r="L78" s="241"/>
    </row>
    <row r="79" spans="1:12" ht="11.25" customHeight="1" x14ac:dyDescent="0.25">
      <c r="A79" s="287" t="s">
        <v>1043</v>
      </c>
      <c r="B79" s="236"/>
      <c r="C79" s="240"/>
      <c r="D79" s="240"/>
      <c r="E79" s="241"/>
      <c r="F79" s="241"/>
      <c r="G79" s="241"/>
      <c r="H79" s="241"/>
      <c r="I79" s="241"/>
      <c r="J79" s="241"/>
      <c r="K79" s="241"/>
      <c r="L79" s="241"/>
    </row>
    <row r="80" spans="1:12" ht="11.25" customHeight="1" x14ac:dyDescent="0.25">
      <c r="A80" s="287" t="s">
        <v>772</v>
      </c>
    </row>
    <row r="81" spans="1:12" ht="11.25" customHeight="1" x14ac:dyDescent="0.25">
      <c r="A81" s="437" t="s">
        <v>1512</v>
      </c>
      <c r="C81" s="344">
        <f>C70-'A6-FinPos'!C48</f>
        <v>0</v>
      </c>
      <c r="D81" s="344">
        <f>D70-'A6-FinPos'!D48</f>
        <v>0</v>
      </c>
      <c r="E81" s="344">
        <f>E70-'A6-FinPos'!E48</f>
        <v>0.44999980926513672</v>
      </c>
      <c r="F81" s="344">
        <f>F70-'A6-FinPos'!F48</f>
        <v>-0.46488571166992188</v>
      </c>
      <c r="G81" s="438">
        <f>G70-'A6-FinPos'!G48</f>
        <v>0</v>
      </c>
      <c r="H81" s="438">
        <f>H70-'A6-FinPos'!H48</f>
        <v>0</v>
      </c>
      <c r="I81" s="438">
        <f>I70-'A6-FinPos'!I48</f>
        <v>0</v>
      </c>
      <c r="J81" s="438">
        <f>J70-'A6-FinPos'!J48</f>
        <v>2.0236968994140625E-3</v>
      </c>
      <c r="K81" s="438">
        <f>K70-'A6-FinPos'!K48</f>
        <v>7.3231697082519531E-2</v>
      </c>
      <c r="L81" s="438">
        <f>L70-'A6-FinPos'!L48</f>
        <v>-3.8909912109375E-3</v>
      </c>
    </row>
    <row r="82" spans="1:12" ht="11.25" customHeight="1" x14ac:dyDescent="0.25">
      <c r="C82" s="310">
        <f>TREND(D82:H82)</f>
        <v>0</v>
      </c>
      <c r="D82" s="310">
        <f>TREND(E82:H82)</f>
        <v>0</v>
      </c>
      <c r="E82" s="310">
        <f>E73</f>
        <v>0</v>
      </c>
      <c r="F82" s="310">
        <f>H73</f>
        <v>0</v>
      </c>
      <c r="G82" s="310">
        <f>J73</f>
        <v>0</v>
      </c>
      <c r="H82" s="310">
        <f>K73</f>
        <v>0</v>
      </c>
      <c r="I82" s="310">
        <f>L73</f>
        <v>0</v>
      </c>
      <c r="J82" s="310"/>
      <c r="K82" s="310"/>
      <c r="L82" s="310"/>
    </row>
    <row r="83" spans="1:12" ht="11.25" customHeight="1" x14ac:dyDescent="0.25"/>
    <row r="84" spans="1:12" ht="11.25" customHeight="1" x14ac:dyDescent="0.25"/>
    <row r="85" spans="1:12" ht="11.25" customHeight="1" x14ac:dyDescent="0.25"/>
    <row r="86" spans="1:12" ht="11.25" customHeight="1" x14ac:dyDescent="0.25"/>
    <row r="87" spans="1:12" ht="11.25" customHeight="1" x14ac:dyDescent="0.25"/>
    <row r="88" spans="1:12" ht="11.25" customHeight="1" x14ac:dyDescent="0.25"/>
    <row r="89" spans="1:12" ht="11.25" customHeight="1" x14ac:dyDescent="0.25"/>
    <row r="90" spans="1:12" ht="11.25" customHeight="1" x14ac:dyDescent="0.25"/>
    <row r="91" spans="1:12" ht="11.25" customHeight="1" x14ac:dyDescent="0.25"/>
    <row r="92" spans="1:12" ht="11.25" customHeight="1" x14ac:dyDescent="0.25"/>
  </sheetData>
  <sheetProtection password="C646" sheet="1" objects="1" scenarios="1"/>
  <mergeCells count="4">
    <mergeCell ref="A2:A3"/>
    <mergeCell ref="B2:B3"/>
    <mergeCell ref="J2:L2"/>
    <mergeCell ref="F2:I2"/>
  </mergeCells>
  <phoneticPr fontId="2" type="noConversion"/>
  <dataValidations count="1">
    <dataValidation type="decimal" allowBlank="1" showInputMessage="1" showErrorMessage="1" sqref="C7:L8 C12:L13 C17:L19 C23:L25 C30:L31 C35:L37 C41:L42 C46:L46 C48:L49 C54:L55 C58:L61 C73:L75 C64:L68">
      <formula1>-99999999999999900000</formula1>
      <formula2>99999999999999900000</formula2>
    </dataValidation>
  </dataValidations>
  <printOptions horizontalCentered="1"/>
  <pageMargins left="0" right="0" top="0.78740157480314998" bottom="0.59055118110236204" header="0.511811023622047" footer="0.39370078740157499"/>
  <pageSetup paperSize="9" scale="70"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enableFormatConditionsCalculation="0">
    <tabColor indexed="42"/>
    <pageSetUpPr fitToPage="1"/>
  </sheetPr>
  <dimension ref="A1:V51"/>
  <sheetViews>
    <sheetView showGridLines="0" zoomScaleNormal="100" workbookViewId="0">
      <pane xSplit="4" ySplit="3" topLeftCell="E49" activePane="bottomRight" state="frozen"/>
      <selection pane="topRight"/>
      <selection pane="bottomLeft"/>
      <selection pane="bottomRight" activeCell="J20" sqref="J20"/>
    </sheetView>
  </sheetViews>
  <sheetFormatPr defaultColWidth="9.1796875" defaultRowHeight="10.5" x14ac:dyDescent="0.25"/>
  <cols>
    <col min="1" max="2" width="18.7265625" style="149" customWidth="1"/>
    <col min="3" max="3" width="5" style="149" customWidth="1"/>
    <col min="4" max="4" width="3" style="247" customWidth="1"/>
    <col min="5" max="13" width="9.26953125" style="149" customWidth="1"/>
    <col min="14" max="14" width="32.7265625" style="149" bestFit="1" customWidth="1"/>
    <col min="15" max="15" width="1.54296875" style="149" customWidth="1"/>
    <col min="16" max="20" width="7.81640625" style="149" bestFit="1" customWidth="1"/>
    <col min="21" max="24" width="8.7265625" style="149" bestFit="1" customWidth="1"/>
    <col min="25" max="26" width="9.81640625" style="149" customWidth="1"/>
    <col min="27" max="16384" width="9.1796875" style="149"/>
  </cols>
  <sheetData>
    <row r="1" spans="1:22" s="179" customFormat="1" ht="13" x14ac:dyDescent="0.3">
      <c r="A1" s="147" t="str">
        <f>muni&amp;" - "&amp;TableA4</f>
        <v>KZN225 Msunduzi - Supporting Table SA4 Reconciliation of IDP strategic objectives and budget (revenue)</v>
      </c>
      <c r="B1" s="147"/>
      <c r="C1" s="147"/>
      <c r="D1" s="147"/>
      <c r="E1" s="147"/>
      <c r="F1" s="147"/>
      <c r="G1" s="147"/>
      <c r="H1" s="147"/>
      <c r="I1" s="147"/>
      <c r="J1" s="147"/>
      <c r="K1" s="147"/>
      <c r="L1" s="147"/>
      <c r="M1" s="147"/>
    </row>
    <row r="2" spans="1:22" ht="28.5" customHeight="1" x14ac:dyDescent="0.25">
      <c r="A2" s="975" t="s">
        <v>973</v>
      </c>
      <c r="B2" s="984" t="s">
        <v>1347</v>
      </c>
      <c r="C2" s="632" t="s">
        <v>2062</v>
      </c>
      <c r="D2" s="2703" t="str">
        <f>head27</f>
        <v>Ref</v>
      </c>
      <c r="E2" s="145" t="str">
        <f>head1b</f>
        <v>2009/10</v>
      </c>
      <c r="F2" s="150" t="str">
        <f>head1A</f>
        <v>2010/11</v>
      </c>
      <c r="G2" s="146" t="str">
        <f>Head1</f>
        <v>2011/12</v>
      </c>
      <c r="H2" s="2677" t="str">
        <f>Head2</f>
        <v>Current Year 2012/13</v>
      </c>
      <c r="I2" s="2678"/>
      <c r="J2" s="2682"/>
      <c r="K2" s="2674" t="str">
        <f>Head3</f>
        <v>2013/14 Medium Term Revenue &amp; Expenditure Framework</v>
      </c>
      <c r="L2" s="2675"/>
      <c r="M2" s="2676"/>
    </row>
    <row r="3" spans="1:22" ht="21" x14ac:dyDescent="0.25">
      <c r="A3" s="991" t="s">
        <v>665</v>
      </c>
      <c r="B3" s="990"/>
      <c r="C3" s="990"/>
      <c r="D3" s="2709"/>
      <c r="E3" s="389" t="str">
        <f>Head5</f>
        <v>Audited Outcome</v>
      </c>
      <c r="F3" s="390" t="str">
        <f>Head5</f>
        <v>Audited Outcome</v>
      </c>
      <c r="G3" s="391" t="str">
        <f>Head5</f>
        <v>Audited Outcome</v>
      </c>
      <c r="H3" s="299" t="str">
        <f>Head6</f>
        <v>Original Budget</v>
      </c>
      <c r="I3" s="390" t="str">
        <f>Head7</f>
        <v>Adjusted Budget</v>
      </c>
      <c r="J3" s="391" t="str">
        <f>Head8</f>
        <v>Full Year Forecast</v>
      </c>
      <c r="K3" s="299" t="str">
        <f>Head9</f>
        <v>Budget Year 2013/14</v>
      </c>
      <c r="L3" s="390" t="str">
        <f>Head10</f>
        <v>Budget Year +1 2014/15</v>
      </c>
      <c r="M3" s="391" t="str">
        <f>Head11</f>
        <v>Budget Year +2 2015/16</v>
      </c>
    </row>
    <row r="4" spans="1:22" x14ac:dyDescent="0.25">
      <c r="A4" s="2615"/>
      <c r="B4" s="2616"/>
      <c r="C4" s="2616"/>
      <c r="D4" s="2612"/>
      <c r="E4" s="154"/>
      <c r="F4" s="152"/>
      <c r="G4" s="153"/>
      <c r="H4" s="151"/>
      <c r="I4" s="152"/>
      <c r="J4" s="154"/>
      <c r="K4" s="151"/>
      <c r="L4" s="152"/>
      <c r="M4" s="153"/>
    </row>
    <row r="5" spans="1:22" ht="21" x14ac:dyDescent="0.25">
      <c r="A5" s="1696" t="s">
        <v>2390</v>
      </c>
      <c r="B5" s="1697" t="s">
        <v>2391</v>
      </c>
      <c r="C5" s="1697"/>
      <c r="D5" s="441"/>
      <c r="E5" s="1698">
        <v>9158000</v>
      </c>
      <c r="F5" s="1699"/>
      <c r="G5" s="1699"/>
      <c r="H5" s="1700"/>
      <c r="I5" s="1698"/>
      <c r="J5" s="1701"/>
      <c r="K5" s="1702"/>
      <c r="L5" s="1698"/>
      <c r="M5" s="1699"/>
      <c r="N5" s="245"/>
      <c r="O5" s="245"/>
      <c r="P5" s="245"/>
      <c r="Q5" s="245"/>
      <c r="R5" s="245"/>
      <c r="S5" s="245"/>
      <c r="T5" s="245"/>
      <c r="U5" s="245"/>
      <c r="V5" s="440"/>
    </row>
    <row r="6" spans="1:22" ht="42" x14ac:dyDescent="0.25">
      <c r="A6" s="1696" t="s">
        <v>2392</v>
      </c>
      <c r="B6" s="1697" t="s">
        <v>2393</v>
      </c>
      <c r="C6" s="1697"/>
      <c r="D6" s="441"/>
      <c r="E6" s="1698">
        <v>1028000</v>
      </c>
      <c r="F6" s="1699"/>
      <c r="G6" s="1699"/>
      <c r="H6" s="1700"/>
      <c r="I6" s="1698"/>
      <c r="J6" s="1701"/>
      <c r="K6" s="1702"/>
      <c r="L6" s="1698"/>
      <c r="M6" s="1699"/>
      <c r="N6" s="245"/>
      <c r="O6" s="245"/>
      <c r="P6" s="245"/>
      <c r="Q6" s="245"/>
      <c r="R6" s="245"/>
      <c r="S6" s="245"/>
      <c r="T6" s="245"/>
      <c r="U6" s="245"/>
    </row>
    <row r="7" spans="1:22" ht="21" x14ac:dyDescent="0.25">
      <c r="A7" s="1696" t="s">
        <v>2394</v>
      </c>
      <c r="B7" s="1697" t="s">
        <v>2393</v>
      </c>
      <c r="C7" s="1697"/>
      <c r="D7" s="441"/>
      <c r="E7" s="1698">
        <v>1000</v>
      </c>
      <c r="F7" s="1699"/>
      <c r="G7" s="1699"/>
      <c r="H7" s="1700"/>
      <c r="I7" s="1698"/>
      <c r="J7" s="1701"/>
      <c r="K7" s="1702"/>
      <c r="L7" s="1698"/>
      <c r="M7" s="1699"/>
      <c r="N7" s="245"/>
      <c r="O7" s="245"/>
      <c r="P7" s="245"/>
      <c r="Q7" s="245"/>
      <c r="R7" s="245"/>
      <c r="S7" s="245"/>
      <c r="T7" s="245"/>
      <c r="U7" s="245"/>
    </row>
    <row r="8" spans="1:22" ht="42" x14ac:dyDescent="0.25">
      <c r="A8" s="1696" t="s">
        <v>2395</v>
      </c>
      <c r="B8" s="1697" t="s">
        <v>2393</v>
      </c>
      <c r="C8" s="1697"/>
      <c r="D8" s="441"/>
      <c r="E8" s="1698">
        <v>263154000</v>
      </c>
      <c r="F8" s="1699"/>
      <c r="G8" s="1699"/>
      <c r="H8" s="1700"/>
      <c r="I8" s="1698"/>
      <c r="J8" s="1701"/>
      <c r="K8" s="1702"/>
      <c r="L8" s="1698"/>
      <c r="M8" s="1699"/>
      <c r="N8" s="245"/>
      <c r="O8" s="245"/>
      <c r="P8" s="245"/>
      <c r="Q8" s="245"/>
      <c r="R8" s="245"/>
      <c r="S8" s="245"/>
      <c r="T8" s="245"/>
      <c r="U8" s="245"/>
    </row>
    <row r="9" spans="1:22" ht="31.5" x14ac:dyDescent="0.25">
      <c r="A9" s="1696" t="s">
        <v>2396</v>
      </c>
      <c r="B9" s="1697" t="s">
        <v>2393</v>
      </c>
      <c r="C9" s="1697"/>
      <c r="D9" s="441"/>
      <c r="E9" s="1698">
        <v>941120000</v>
      </c>
      <c r="F9" s="1699"/>
      <c r="G9" s="1699"/>
      <c r="H9" s="1700"/>
      <c r="I9" s="1698"/>
      <c r="J9" s="1701"/>
      <c r="K9" s="1702"/>
      <c r="L9" s="1698"/>
      <c r="M9" s="1699"/>
      <c r="N9" s="245"/>
      <c r="O9" s="245"/>
      <c r="P9" s="245"/>
      <c r="Q9" s="245"/>
      <c r="R9" s="245"/>
      <c r="S9" s="245"/>
      <c r="T9" s="245"/>
      <c r="U9" s="245"/>
    </row>
    <row r="10" spans="1:22" x14ac:dyDescent="0.25">
      <c r="A10" s="1696"/>
      <c r="B10" s="1697"/>
      <c r="C10" s="1697"/>
      <c r="D10" s="441"/>
      <c r="E10" s="1698"/>
      <c r="F10" s="1699"/>
      <c r="G10" s="1699"/>
      <c r="H10" s="1700"/>
      <c r="I10" s="1698"/>
      <c r="J10" s="1701"/>
      <c r="K10" s="1702"/>
      <c r="L10" s="1698"/>
      <c r="M10" s="1699"/>
      <c r="N10" s="245"/>
      <c r="O10" s="245"/>
      <c r="P10" s="245"/>
      <c r="Q10" s="245"/>
      <c r="R10" s="245"/>
      <c r="S10" s="245"/>
      <c r="T10" s="245"/>
      <c r="U10" s="245"/>
    </row>
    <row r="11" spans="1:22" ht="21" x14ac:dyDescent="0.25">
      <c r="A11" s="1696" t="s">
        <v>2397</v>
      </c>
      <c r="B11" s="1697" t="s">
        <v>2398</v>
      </c>
      <c r="C11" s="1697"/>
      <c r="D11" s="441"/>
      <c r="E11" s="1698">
        <v>575000</v>
      </c>
      <c r="F11" s="1699"/>
      <c r="G11" s="1699"/>
      <c r="H11" s="1700"/>
      <c r="I11" s="1698"/>
      <c r="J11" s="1701"/>
      <c r="K11" s="1702"/>
      <c r="L11" s="1698"/>
      <c r="M11" s="1699"/>
      <c r="N11" s="245"/>
      <c r="O11" s="245"/>
      <c r="P11" s="245"/>
      <c r="Q11" s="245"/>
      <c r="R11" s="245"/>
      <c r="S11" s="245"/>
      <c r="T11" s="245"/>
      <c r="U11" s="245"/>
    </row>
    <row r="12" spans="1:22" ht="31.5" x14ac:dyDescent="0.25">
      <c r="A12" s="1696" t="s">
        <v>2399</v>
      </c>
      <c r="B12" s="1697" t="s">
        <v>2400</v>
      </c>
      <c r="C12" s="1697"/>
      <c r="D12" s="441"/>
      <c r="E12" s="1698">
        <v>840966000</v>
      </c>
      <c r="F12" s="1699"/>
      <c r="G12" s="1699"/>
      <c r="H12" s="1700"/>
      <c r="I12" s="1698"/>
      <c r="J12" s="1701"/>
      <c r="K12" s="1702"/>
      <c r="L12" s="1698"/>
      <c r="M12" s="1699"/>
      <c r="N12" s="245"/>
      <c r="O12" s="245"/>
      <c r="P12" s="245"/>
      <c r="Q12" s="245"/>
      <c r="R12" s="245"/>
      <c r="S12" s="245"/>
      <c r="T12" s="245"/>
      <c r="U12" s="245"/>
    </row>
    <row r="13" spans="1:22" ht="31.5" x14ac:dyDescent="0.25">
      <c r="A13" s="1696" t="s">
        <v>2401</v>
      </c>
      <c r="B13" s="1697" t="s">
        <v>2402</v>
      </c>
      <c r="C13" s="1697"/>
      <c r="D13" s="441"/>
      <c r="E13" s="1698">
        <v>13147000</v>
      </c>
      <c r="F13" s="1699"/>
      <c r="G13" s="1699"/>
      <c r="H13" s="1700"/>
      <c r="I13" s="1698"/>
      <c r="J13" s="1701"/>
      <c r="K13" s="1702"/>
      <c r="L13" s="1698"/>
      <c r="M13" s="1699"/>
      <c r="N13" s="245"/>
      <c r="O13" s="245"/>
      <c r="P13" s="245"/>
      <c r="Q13" s="245"/>
      <c r="R13" s="245"/>
      <c r="S13" s="245"/>
      <c r="T13" s="245"/>
      <c r="U13" s="245"/>
    </row>
    <row r="14" spans="1:22" ht="21" x14ac:dyDescent="0.25">
      <c r="A14" s="1696" t="s">
        <v>2403</v>
      </c>
      <c r="B14" s="1697" t="s">
        <v>2404</v>
      </c>
      <c r="C14" s="1697"/>
      <c r="D14" s="441"/>
      <c r="E14" s="1698">
        <v>7904000</v>
      </c>
      <c r="F14" s="1699"/>
      <c r="G14" s="1699"/>
      <c r="H14" s="1700"/>
      <c r="I14" s="1698"/>
      <c r="J14" s="1701"/>
      <c r="K14" s="1702"/>
      <c r="L14" s="1698"/>
      <c r="M14" s="1699"/>
      <c r="N14" s="245"/>
      <c r="O14" s="245"/>
      <c r="P14" s="245"/>
      <c r="Q14" s="245"/>
      <c r="R14" s="245"/>
      <c r="S14" s="245"/>
      <c r="T14" s="245"/>
      <c r="U14" s="245"/>
    </row>
    <row r="15" spans="1:22" x14ac:dyDescent="0.25">
      <c r="A15" s="1696"/>
      <c r="B15" s="1697"/>
      <c r="C15" s="1697"/>
      <c r="D15" s="441"/>
      <c r="E15" s="1698"/>
      <c r="F15" s="1699"/>
      <c r="G15" s="1699"/>
      <c r="H15" s="1700"/>
      <c r="I15" s="1698"/>
      <c r="J15" s="1701"/>
      <c r="K15" s="1702"/>
      <c r="L15" s="1698"/>
      <c r="M15" s="1699"/>
      <c r="N15" s="245"/>
      <c r="O15" s="245"/>
      <c r="P15" s="245"/>
      <c r="Q15" s="245"/>
      <c r="R15" s="245"/>
      <c r="S15" s="245"/>
      <c r="T15" s="245"/>
      <c r="U15" s="245"/>
    </row>
    <row r="16" spans="1:22" ht="21" x14ac:dyDescent="0.25">
      <c r="A16" s="1696" t="s">
        <v>2405</v>
      </c>
      <c r="B16" s="1697" t="s">
        <v>2402</v>
      </c>
      <c r="C16" s="1697"/>
      <c r="D16" s="441"/>
      <c r="E16" s="1698">
        <v>3533000</v>
      </c>
      <c r="F16" s="1699"/>
      <c r="G16" s="1699"/>
      <c r="H16" s="1700"/>
      <c r="I16" s="1698"/>
      <c r="J16" s="1701"/>
      <c r="K16" s="1702"/>
      <c r="L16" s="1698"/>
      <c r="M16" s="1699"/>
      <c r="N16" s="245"/>
      <c r="O16" s="245"/>
      <c r="P16" s="245"/>
      <c r="Q16" s="245"/>
      <c r="R16" s="245"/>
      <c r="S16" s="245"/>
      <c r="T16" s="245"/>
      <c r="U16" s="245"/>
    </row>
    <row r="17" spans="1:21" ht="21" x14ac:dyDescent="0.25">
      <c r="A17" s="1696" t="s">
        <v>2406</v>
      </c>
      <c r="B17" s="1697" t="s">
        <v>2404</v>
      </c>
      <c r="C17" s="1697"/>
      <c r="D17" s="441"/>
      <c r="E17" s="1698">
        <v>2783000</v>
      </c>
      <c r="F17" s="1699"/>
      <c r="G17" s="1699"/>
      <c r="H17" s="1700"/>
      <c r="I17" s="1698"/>
      <c r="J17" s="1701"/>
      <c r="K17" s="1702"/>
      <c r="L17" s="1698"/>
      <c r="M17" s="1699"/>
      <c r="N17" s="245"/>
      <c r="O17" s="245"/>
      <c r="P17" s="245"/>
      <c r="Q17" s="245"/>
      <c r="R17" s="245"/>
      <c r="S17" s="245"/>
      <c r="T17" s="245"/>
      <c r="U17" s="245"/>
    </row>
    <row r="18" spans="1:21" ht="21" x14ac:dyDescent="0.25">
      <c r="A18" s="1696" t="s">
        <v>2407</v>
      </c>
      <c r="B18" s="1697" t="s">
        <v>2404</v>
      </c>
      <c r="C18" s="1697"/>
      <c r="D18" s="441"/>
      <c r="E18" s="1698">
        <v>54775000</v>
      </c>
      <c r="F18" s="1699"/>
      <c r="G18" s="1699"/>
      <c r="H18" s="1700"/>
      <c r="I18" s="1698"/>
      <c r="J18" s="1701"/>
      <c r="K18" s="1702"/>
      <c r="L18" s="1698"/>
      <c r="M18" s="1699"/>
      <c r="N18" s="245"/>
      <c r="O18" s="245"/>
      <c r="P18" s="245"/>
      <c r="Q18" s="245"/>
      <c r="R18" s="245"/>
      <c r="S18" s="245"/>
      <c r="T18" s="245"/>
      <c r="U18" s="245"/>
    </row>
    <row r="19" spans="1:21" ht="21" x14ac:dyDescent="0.25">
      <c r="A19" s="1696" t="s">
        <v>2408</v>
      </c>
      <c r="B19" s="1697" t="s">
        <v>2404</v>
      </c>
      <c r="C19" s="1697"/>
      <c r="D19" s="441"/>
      <c r="E19" s="1698">
        <v>140332000</v>
      </c>
      <c r="F19" s="1699"/>
      <c r="G19" s="1699"/>
      <c r="H19" s="1700"/>
      <c r="I19" s="1698"/>
      <c r="J19" s="1701"/>
      <c r="K19" s="1702"/>
      <c r="L19" s="1698"/>
      <c r="M19" s="1699"/>
      <c r="N19" s="245"/>
      <c r="O19" s="245"/>
      <c r="P19" s="245"/>
      <c r="Q19" s="245"/>
      <c r="R19" s="245"/>
      <c r="S19" s="245"/>
      <c r="T19" s="245"/>
      <c r="U19" s="245"/>
    </row>
    <row r="20" spans="1:21" ht="21" x14ac:dyDescent="0.25">
      <c r="A20" s="1696" t="s">
        <v>2409</v>
      </c>
      <c r="B20" s="1697" t="s">
        <v>2410</v>
      </c>
      <c r="C20" s="1697"/>
      <c r="D20" s="441"/>
      <c r="E20" s="1698"/>
      <c r="F20" s="1699">
        <v>835014107.270087</v>
      </c>
      <c r="G20" s="1699"/>
      <c r="H20" s="1700"/>
      <c r="I20" s="1698"/>
      <c r="J20" s="1701"/>
      <c r="K20" s="1698">
        <v>951599944.97007108</v>
      </c>
      <c r="L20" s="1699">
        <v>1056149439.5641451</v>
      </c>
      <c r="M20" s="1699">
        <v>1161764000</v>
      </c>
      <c r="N20" s="245"/>
      <c r="O20" s="245"/>
      <c r="P20" s="245"/>
      <c r="Q20" s="245"/>
      <c r="R20" s="245"/>
      <c r="S20" s="245"/>
      <c r="T20" s="245"/>
      <c r="U20" s="245"/>
    </row>
    <row r="21" spans="1:21" ht="42" x14ac:dyDescent="0.25">
      <c r="A21" s="1696" t="s">
        <v>2411</v>
      </c>
      <c r="B21" s="1697" t="s">
        <v>2412</v>
      </c>
      <c r="C21" s="1697"/>
      <c r="D21" s="441"/>
      <c r="E21" s="1698"/>
      <c r="F21" s="1699">
        <v>2024427074.1559048</v>
      </c>
      <c r="G21" s="1699"/>
      <c r="H21" s="1700"/>
      <c r="I21" s="1698"/>
      <c r="J21" s="1701"/>
      <c r="K21" s="1698">
        <f>2307080414.07924+232959000</f>
        <v>2540039414.0792398</v>
      </c>
      <c r="L21" s="1699">
        <f>2560552571.73837+51713000</f>
        <v>2612265571.7383699</v>
      </c>
      <c r="M21" s="1699">
        <f>2844179000+11038000-22076000</f>
        <v>2833141000</v>
      </c>
      <c r="N21" s="245"/>
      <c r="O21" s="245"/>
      <c r="P21" s="245"/>
      <c r="Q21" s="245"/>
      <c r="R21" s="245"/>
      <c r="S21" s="245"/>
      <c r="T21" s="245"/>
      <c r="U21" s="245"/>
    </row>
    <row r="22" spans="1:21" ht="42" x14ac:dyDescent="0.25">
      <c r="A22" s="1696" t="s">
        <v>2413</v>
      </c>
      <c r="B22" s="1697" t="s">
        <v>2414</v>
      </c>
      <c r="C22" s="1697"/>
      <c r="D22" s="441"/>
      <c r="E22" s="1698"/>
      <c r="F22" s="1699">
        <v>8232607.6633443041</v>
      </c>
      <c r="G22" s="1699"/>
      <c r="H22" s="1700"/>
      <c r="I22" s="1698"/>
      <c r="J22" s="1701"/>
      <c r="K22" s="1698">
        <v>9382055.8613205012</v>
      </c>
      <c r="L22" s="1699">
        <v>10412834.818107091</v>
      </c>
      <c r="M22" s="1699">
        <v>11038000</v>
      </c>
      <c r="N22" s="245"/>
      <c r="O22" s="245"/>
      <c r="P22" s="245"/>
      <c r="Q22" s="245"/>
      <c r="R22" s="245"/>
      <c r="S22" s="245"/>
      <c r="T22" s="245"/>
      <c r="U22" s="245"/>
    </row>
    <row r="23" spans="1:21" ht="31.5" x14ac:dyDescent="0.25">
      <c r="A23" s="1696" t="s">
        <v>2415</v>
      </c>
      <c r="B23" s="1697" t="s">
        <v>2416</v>
      </c>
      <c r="C23" s="1697"/>
      <c r="D23" s="441"/>
      <c r="E23" s="1698"/>
      <c r="F23" s="1699">
        <v>249080.87044505763</v>
      </c>
      <c r="G23" s="1699"/>
      <c r="H23" s="1700"/>
      <c r="I23" s="1698"/>
      <c r="J23" s="1701"/>
      <c r="K23" s="1698">
        <v>283857.88999843557</v>
      </c>
      <c r="L23" s="1699">
        <v>315044.52372276818</v>
      </c>
      <c r="M23" s="1699">
        <v>331000</v>
      </c>
      <c r="N23" s="245"/>
      <c r="O23" s="245"/>
      <c r="P23" s="245"/>
      <c r="Q23" s="245"/>
      <c r="R23" s="245"/>
      <c r="S23" s="245"/>
      <c r="T23" s="245"/>
      <c r="U23" s="245"/>
    </row>
    <row r="24" spans="1:21" ht="31.5" x14ac:dyDescent="0.25">
      <c r="A24" s="1696" t="s">
        <v>2417</v>
      </c>
      <c r="B24" s="1697" t="s">
        <v>2416</v>
      </c>
      <c r="C24" s="1697"/>
      <c r="D24" s="441"/>
      <c r="E24" s="1698"/>
      <c r="F24" s="1699">
        <v>329683.49644157436</v>
      </c>
      <c r="G24" s="1699"/>
      <c r="H24" s="1700"/>
      <c r="I24" s="1698"/>
      <c r="J24" s="1701"/>
      <c r="K24" s="1698">
        <v>375714.36738597183</v>
      </c>
      <c r="L24" s="1699">
        <v>416993.00283521094</v>
      </c>
      <c r="M24" s="1699">
        <v>2085000</v>
      </c>
      <c r="N24" s="245"/>
      <c r="O24" s="245"/>
      <c r="P24" s="245"/>
      <c r="Q24" s="245"/>
      <c r="R24" s="245"/>
      <c r="S24" s="245"/>
      <c r="T24" s="245"/>
      <c r="U24" s="245"/>
    </row>
    <row r="25" spans="1:21" ht="21" x14ac:dyDescent="0.25">
      <c r="A25" s="1696" t="s">
        <v>2418</v>
      </c>
      <c r="B25" s="1697" t="s">
        <v>2419</v>
      </c>
      <c r="C25" s="1697"/>
      <c r="D25" s="441"/>
      <c r="E25" s="1698"/>
      <c r="F25" s="1699">
        <v>33988003.543777436</v>
      </c>
      <c r="G25" s="1699"/>
      <c r="H25" s="1700"/>
      <c r="I25" s="1698"/>
      <c r="J25" s="1701"/>
      <c r="K25" s="1698">
        <v>38733456.14200478</v>
      </c>
      <c r="L25" s="1699">
        <v>42988987.3501909</v>
      </c>
      <c r="M25" s="1699">
        <v>45139000</v>
      </c>
      <c r="N25" s="245"/>
      <c r="O25" s="245"/>
      <c r="P25" s="245"/>
      <c r="Q25" s="245"/>
      <c r="R25" s="245"/>
      <c r="S25" s="245"/>
      <c r="T25" s="245"/>
      <c r="U25" s="245"/>
    </row>
    <row r="26" spans="1:21" x14ac:dyDescent="0.25">
      <c r="A26" s="1696"/>
      <c r="B26" s="1697"/>
      <c r="C26" s="1697"/>
      <c r="D26" s="441"/>
      <c r="E26" s="1698"/>
      <c r="F26" s="1699"/>
      <c r="G26" s="1699"/>
      <c r="H26" s="1700"/>
      <c r="I26" s="1698"/>
      <c r="J26" s="1701"/>
      <c r="K26" s="1698"/>
      <c r="L26" s="1699"/>
      <c r="M26" s="1699"/>
      <c r="N26" s="245"/>
      <c r="O26" s="245"/>
      <c r="P26" s="245"/>
      <c r="Q26" s="245"/>
      <c r="R26" s="245"/>
      <c r="S26" s="245"/>
      <c r="T26" s="245"/>
      <c r="U26" s="245"/>
    </row>
    <row r="27" spans="1:21" x14ac:dyDescent="0.25">
      <c r="A27" s="1696"/>
      <c r="B27" s="1697"/>
      <c r="C27" s="1697"/>
      <c r="D27" s="441"/>
      <c r="E27" s="1698"/>
      <c r="F27" s="1698"/>
      <c r="G27" s="1699"/>
      <c r="H27" s="1700"/>
      <c r="I27" s="1698"/>
      <c r="J27" s="1701"/>
      <c r="K27" s="1702"/>
      <c r="L27" s="1698"/>
      <c r="M27" s="1699"/>
      <c r="N27" s="245"/>
      <c r="O27" s="245"/>
      <c r="P27" s="245"/>
      <c r="Q27" s="245"/>
      <c r="R27" s="245"/>
      <c r="S27" s="245"/>
      <c r="T27" s="245"/>
      <c r="U27" s="245"/>
    </row>
    <row r="28" spans="1:21" x14ac:dyDescent="0.25">
      <c r="A28" s="1696"/>
      <c r="B28" s="1697"/>
      <c r="C28" s="1697"/>
      <c r="D28" s="441"/>
      <c r="E28" s="1698"/>
      <c r="F28" s="1698"/>
      <c r="G28" s="1699"/>
      <c r="H28" s="1700"/>
      <c r="I28" s="1698"/>
      <c r="J28" s="1701"/>
      <c r="K28" s="1702"/>
      <c r="L28" s="1698"/>
      <c r="M28" s="1699"/>
      <c r="N28" s="245"/>
      <c r="O28" s="245"/>
      <c r="P28" s="245"/>
      <c r="Q28" s="245"/>
      <c r="R28" s="245"/>
      <c r="S28" s="245"/>
      <c r="T28" s="245"/>
      <c r="U28" s="245"/>
    </row>
    <row r="29" spans="1:21" x14ac:dyDescent="0.25">
      <c r="A29" s="1696"/>
      <c r="B29" s="1697"/>
      <c r="C29" s="1697"/>
      <c r="D29" s="441"/>
      <c r="E29" s="1698"/>
      <c r="F29" s="1698"/>
      <c r="G29" s="1699"/>
      <c r="H29" s="1700"/>
      <c r="I29" s="1698"/>
      <c r="J29" s="1701"/>
      <c r="K29" s="1702"/>
      <c r="L29" s="1698"/>
      <c r="M29" s="1699"/>
      <c r="N29" s="245"/>
      <c r="O29" s="245"/>
      <c r="P29" s="245"/>
      <c r="Q29" s="245"/>
      <c r="R29" s="245"/>
      <c r="S29" s="245"/>
      <c r="T29" s="245"/>
      <c r="U29" s="245"/>
    </row>
    <row r="30" spans="1:21" x14ac:dyDescent="0.25">
      <c r="A30" s="1696"/>
      <c r="B30" s="1697"/>
      <c r="C30" s="1697"/>
      <c r="D30" s="441"/>
      <c r="E30" s="1698"/>
      <c r="F30" s="1698"/>
      <c r="G30" s="1699"/>
      <c r="H30" s="1700"/>
      <c r="I30" s="1698"/>
      <c r="J30" s="1701"/>
      <c r="K30" s="1702"/>
      <c r="L30" s="1698"/>
      <c r="M30" s="1699"/>
      <c r="N30" s="245"/>
      <c r="O30" s="245"/>
      <c r="P30" s="245"/>
      <c r="Q30" s="245"/>
      <c r="R30" s="245"/>
      <c r="S30" s="245"/>
      <c r="T30" s="245"/>
      <c r="U30" s="245"/>
    </row>
    <row r="31" spans="1:21" ht="53.25" customHeight="1" x14ac:dyDescent="0.25">
      <c r="A31" s="1696"/>
      <c r="B31" s="1697"/>
      <c r="C31" s="1697"/>
      <c r="D31" s="441"/>
      <c r="E31" s="1698"/>
      <c r="F31" s="1698"/>
      <c r="G31" s="1699"/>
      <c r="H31" s="1700"/>
      <c r="I31" s="1698"/>
      <c r="J31" s="1701"/>
      <c r="K31" s="1702"/>
      <c r="L31" s="1698"/>
      <c r="M31" s="1699"/>
      <c r="N31" s="245"/>
      <c r="O31" s="245"/>
      <c r="P31" s="245"/>
      <c r="Q31" s="245"/>
      <c r="R31" s="245"/>
      <c r="S31" s="245"/>
      <c r="T31" s="245"/>
      <c r="U31" s="245"/>
    </row>
    <row r="32" spans="1:21" x14ac:dyDescent="0.25">
      <c r="A32" s="1696"/>
      <c r="B32" s="1697"/>
      <c r="C32" s="1697"/>
      <c r="D32" s="441"/>
      <c r="E32" s="1698"/>
      <c r="F32" s="1698"/>
      <c r="G32" s="1699"/>
      <c r="H32" s="1700"/>
      <c r="I32" s="1698"/>
      <c r="J32" s="1701"/>
      <c r="K32" s="1702"/>
      <c r="L32" s="1698"/>
      <c r="M32" s="1699"/>
      <c r="N32" s="245"/>
      <c r="O32" s="245"/>
      <c r="P32" s="245"/>
      <c r="Q32" s="245"/>
      <c r="R32" s="245"/>
      <c r="S32" s="245"/>
      <c r="T32" s="245"/>
      <c r="U32" s="245"/>
    </row>
    <row r="33" spans="1:21" x14ac:dyDescent="0.25">
      <c r="A33" s="1696"/>
      <c r="B33" s="1697"/>
      <c r="C33" s="1697"/>
      <c r="D33" s="441"/>
      <c r="E33" s="1698"/>
      <c r="F33" s="1698"/>
      <c r="G33" s="1699"/>
      <c r="H33" s="1700"/>
      <c r="I33" s="1698"/>
      <c r="J33" s="1701"/>
      <c r="K33" s="1702"/>
      <c r="L33" s="1698"/>
      <c r="M33" s="1699"/>
      <c r="N33" s="245"/>
      <c r="O33" s="245"/>
      <c r="P33" s="245"/>
      <c r="Q33" s="245"/>
      <c r="R33" s="245"/>
      <c r="S33" s="245"/>
      <c r="T33" s="245"/>
      <c r="U33" s="245"/>
    </row>
    <row r="34" spans="1:21" x14ac:dyDescent="0.25">
      <c r="A34" s="1696"/>
      <c r="B34" s="1697"/>
      <c r="C34" s="1697"/>
      <c r="D34" s="441"/>
      <c r="E34" s="1698"/>
      <c r="F34" s="1698"/>
      <c r="G34" s="1699"/>
      <c r="H34" s="1700"/>
      <c r="I34" s="1698"/>
      <c r="J34" s="1701"/>
      <c r="K34" s="1702"/>
      <c r="L34" s="1698"/>
      <c r="M34" s="1699"/>
      <c r="N34" s="245"/>
      <c r="O34" s="245"/>
      <c r="P34" s="245"/>
      <c r="Q34" s="245"/>
      <c r="R34" s="245"/>
      <c r="S34" s="245"/>
      <c r="T34" s="245"/>
      <c r="U34" s="245"/>
    </row>
    <row r="35" spans="1:21" x14ac:dyDescent="0.25">
      <c r="A35" s="1696"/>
      <c r="B35" s="1697"/>
      <c r="C35" s="1697"/>
      <c r="D35" s="441"/>
      <c r="E35" s="1698"/>
      <c r="F35" s="1698"/>
      <c r="G35" s="1699"/>
      <c r="H35" s="1700"/>
      <c r="I35" s="1698"/>
      <c r="J35" s="1701"/>
      <c r="K35" s="1702"/>
      <c r="L35" s="1698"/>
      <c r="M35" s="1699"/>
      <c r="N35" s="245"/>
      <c r="O35" s="245"/>
      <c r="P35" s="245"/>
      <c r="Q35" s="245"/>
      <c r="R35" s="245"/>
      <c r="S35" s="245"/>
      <c r="T35" s="245"/>
      <c r="U35" s="245"/>
    </row>
    <row r="36" spans="1:21" x14ac:dyDescent="0.25">
      <c r="A36" s="1696"/>
      <c r="B36" s="1697"/>
      <c r="C36" s="1697"/>
      <c r="D36" s="441"/>
      <c r="E36" s="1698"/>
      <c r="F36" s="1698"/>
      <c r="G36" s="1699"/>
      <c r="H36" s="1700"/>
      <c r="I36" s="1698"/>
      <c r="J36" s="1701"/>
      <c r="K36" s="1702"/>
      <c r="L36" s="1698"/>
      <c r="M36" s="1699"/>
      <c r="N36" s="245"/>
      <c r="O36" s="245"/>
      <c r="P36" s="245"/>
      <c r="Q36" s="245"/>
      <c r="R36" s="245"/>
      <c r="S36" s="245"/>
      <c r="T36" s="245"/>
      <c r="U36" s="245"/>
    </row>
    <row r="37" spans="1:21" x14ac:dyDescent="0.25">
      <c r="A37" s="1696"/>
      <c r="B37" s="1697"/>
      <c r="C37" s="1697"/>
      <c r="D37" s="441"/>
      <c r="E37" s="1698"/>
      <c r="F37" s="1698"/>
      <c r="G37" s="1699"/>
      <c r="H37" s="1700"/>
      <c r="I37" s="1698"/>
      <c r="J37" s="1701"/>
      <c r="K37" s="1702"/>
      <c r="L37" s="1698"/>
      <c r="M37" s="1699"/>
      <c r="N37" s="245"/>
      <c r="O37" s="245"/>
      <c r="P37" s="245"/>
      <c r="Q37" s="245"/>
      <c r="R37" s="245"/>
      <c r="S37" s="245"/>
      <c r="T37" s="245"/>
      <c r="U37" s="245"/>
    </row>
    <row r="38" spans="1:21" x14ac:dyDescent="0.25">
      <c r="A38" s="1696"/>
      <c r="B38" s="1697"/>
      <c r="C38" s="1697"/>
      <c r="D38" s="441"/>
      <c r="E38" s="1698"/>
      <c r="F38" s="1698"/>
      <c r="G38" s="1699"/>
      <c r="H38" s="1700"/>
      <c r="I38" s="1698"/>
      <c r="J38" s="1701"/>
      <c r="K38" s="1702"/>
      <c r="L38" s="1698"/>
      <c r="M38" s="1699"/>
      <c r="N38" s="245"/>
      <c r="O38" s="245"/>
      <c r="P38" s="245"/>
      <c r="Q38" s="245"/>
      <c r="R38" s="245"/>
      <c r="S38" s="245"/>
      <c r="T38" s="245"/>
      <c r="U38" s="245"/>
    </row>
    <row r="39" spans="1:21" x14ac:dyDescent="0.25">
      <c r="A39" s="1696"/>
      <c r="B39" s="1697"/>
      <c r="C39" s="1697"/>
      <c r="D39" s="441"/>
      <c r="E39" s="1698"/>
      <c r="F39" s="1698"/>
      <c r="G39" s="1699"/>
      <c r="H39" s="1700"/>
      <c r="I39" s="1698"/>
      <c r="J39" s="1701"/>
      <c r="K39" s="1702"/>
      <c r="L39" s="1698"/>
      <c r="M39" s="1699"/>
      <c r="N39" s="245"/>
      <c r="O39" s="245"/>
      <c r="P39" s="245"/>
      <c r="Q39" s="245"/>
      <c r="R39" s="245"/>
      <c r="S39" s="245"/>
      <c r="T39" s="245"/>
      <c r="U39" s="245"/>
    </row>
    <row r="40" spans="1:21" x14ac:dyDescent="0.25">
      <c r="A40" s="1696"/>
      <c r="B40" s="1697"/>
      <c r="C40" s="1697"/>
      <c r="D40" s="441"/>
      <c r="E40" s="1698"/>
      <c r="F40" s="1698"/>
      <c r="G40" s="1699"/>
      <c r="H40" s="1700"/>
      <c r="I40" s="1698"/>
      <c r="J40" s="1701"/>
      <c r="K40" s="1702"/>
      <c r="L40" s="1698"/>
      <c r="M40" s="1699"/>
      <c r="N40" s="245"/>
      <c r="O40" s="245"/>
      <c r="P40" s="245"/>
      <c r="Q40" s="245"/>
      <c r="R40" s="245"/>
      <c r="S40" s="245"/>
      <c r="T40" s="245"/>
      <c r="U40" s="245"/>
    </row>
    <row r="41" spans="1:21" x14ac:dyDescent="0.25">
      <c r="A41" s="1696"/>
      <c r="B41" s="1697"/>
      <c r="C41" s="1697"/>
      <c r="D41" s="441"/>
      <c r="E41" s="1698"/>
      <c r="F41" s="1698"/>
      <c r="G41" s="1699"/>
      <c r="H41" s="1700"/>
      <c r="I41" s="1698"/>
      <c r="J41" s="1701"/>
      <c r="K41" s="1702"/>
      <c r="L41" s="1698"/>
      <c r="M41" s="1699"/>
      <c r="N41" s="245"/>
      <c r="O41" s="245"/>
      <c r="P41" s="245"/>
      <c r="Q41" s="245"/>
      <c r="R41" s="245"/>
      <c r="S41" s="245"/>
      <c r="T41" s="245"/>
      <c r="U41" s="245"/>
    </row>
    <row r="42" spans="1:21" x14ac:dyDescent="0.25">
      <c r="A42" s="1696"/>
      <c r="B42" s="1697"/>
      <c r="C42" s="1697"/>
      <c r="D42" s="441"/>
      <c r="E42" s="1698"/>
      <c r="F42" s="1698"/>
      <c r="G42" s="1699"/>
      <c r="H42" s="1700"/>
      <c r="I42" s="1698"/>
      <c r="J42" s="1701"/>
      <c r="K42" s="1702"/>
      <c r="L42" s="1698"/>
      <c r="M42" s="1699"/>
      <c r="N42" s="245"/>
      <c r="O42" s="245"/>
      <c r="P42" s="245"/>
      <c r="Q42" s="245"/>
      <c r="R42" s="245"/>
      <c r="S42" s="245"/>
      <c r="T42" s="245"/>
      <c r="U42" s="245"/>
    </row>
    <row r="43" spans="1:21" x14ac:dyDescent="0.25">
      <c r="A43" s="1696"/>
      <c r="B43" s="1697"/>
      <c r="C43" s="1697"/>
      <c r="D43" s="441"/>
      <c r="E43" s="1698"/>
      <c r="F43" s="1698"/>
      <c r="G43" s="1699"/>
      <c r="H43" s="1700"/>
      <c r="I43" s="1698"/>
      <c r="J43" s="1701"/>
      <c r="K43" s="1702"/>
      <c r="L43" s="1698"/>
      <c r="M43" s="1699"/>
      <c r="N43" s="245"/>
      <c r="O43" s="245"/>
      <c r="P43" s="245"/>
      <c r="Q43" s="245"/>
      <c r="R43" s="245"/>
      <c r="S43" s="245"/>
      <c r="T43" s="245"/>
      <c r="U43" s="245"/>
    </row>
    <row r="44" spans="1:21" x14ac:dyDescent="0.25">
      <c r="A44" s="2328" t="s">
        <v>2068</v>
      </c>
      <c r="B44" s="2329"/>
      <c r="C44" s="2330"/>
      <c r="D44" s="441">
        <v>2</v>
      </c>
      <c r="E44" s="2323"/>
      <c r="F44" s="2323"/>
      <c r="G44" s="2324"/>
      <c r="H44" s="2325"/>
      <c r="I44" s="2323"/>
      <c r="J44" s="2326"/>
      <c r="K44" s="2327"/>
      <c r="L44" s="2323"/>
      <c r="M44" s="2324"/>
      <c r="N44" s="245"/>
      <c r="O44" s="245"/>
      <c r="P44" s="245"/>
      <c r="Q44" s="245"/>
      <c r="R44" s="245"/>
      <c r="S44" s="245"/>
      <c r="T44" s="245"/>
      <c r="U44" s="245"/>
    </row>
    <row r="45" spans="1:21" ht="12.75" customHeight="1" x14ac:dyDescent="0.25">
      <c r="A45" s="346" t="str">
        <f>'A4-FinPerf RE'!A22</f>
        <v>Total Revenue (excluding capital transfers and contributions)</v>
      </c>
      <c r="B45" s="442"/>
      <c r="C45" s="442"/>
      <c r="D45" s="347">
        <v>1</v>
      </c>
      <c r="E45" s="230">
        <f t="shared" ref="E45:M45" si="0">SUM(E5:E44)</f>
        <v>2278476000</v>
      </c>
      <c r="F45" s="230">
        <f t="shared" si="0"/>
        <v>2902240557.0000005</v>
      </c>
      <c r="G45" s="228">
        <f t="shared" si="0"/>
        <v>0</v>
      </c>
      <c r="H45" s="229">
        <f t="shared" si="0"/>
        <v>0</v>
      </c>
      <c r="I45" s="230">
        <f t="shared" si="0"/>
        <v>0</v>
      </c>
      <c r="J45" s="231">
        <f t="shared" si="0"/>
        <v>0</v>
      </c>
      <c r="K45" s="232">
        <f t="shared" si="0"/>
        <v>3540414443.3100204</v>
      </c>
      <c r="L45" s="230">
        <f t="shared" si="0"/>
        <v>3722548870.9973712</v>
      </c>
      <c r="M45" s="228">
        <f t="shared" si="0"/>
        <v>4053498000</v>
      </c>
    </row>
    <row r="46" spans="1:21" s="709" customFormat="1" x14ac:dyDescent="0.25">
      <c r="A46" s="1232" t="str">
        <f>head27a</f>
        <v>References</v>
      </c>
      <c r="B46" s="1041"/>
      <c r="C46" s="1041"/>
      <c r="D46" s="1038"/>
      <c r="E46" s="1042"/>
      <c r="F46" s="1042"/>
      <c r="G46" s="1042"/>
      <c r="H46" s="1042"/>
      <c r="I46" s="1042"/>
      <c r="J46" s="1042"/>
      <c r="K46" s="1042"/>
      <c r="L46" s="1042"/>
      <c r="M46" s="1042"/>
    </row>
    <row r="47" spans="1:21" s="709" customFormat="1" x14ac:dyDescent="0.25">
      <c r="A47" s="1194" t="str">
        <f>"1. Total revenue must reconcile to "&amp;'Template names'!F103</f>
        <v>1. Total revenue must reconcile to Table A4 Budgeted Financial Performance (revenue and expenditure)</v>
      </c>
      <c r="B47" s="1061"/>
      <c r="C47" s="1061"/>
      <c r="D47" s="1038"/>
      <c r="E47" s="1042"/>
      <c r="F47" s="1041"/>
      <c r="G47" s="1042"/>
      <c r="H47" s="1042"/>
      <c r="I47" s="1042"/>
      <c r="J47" s="1042"/>
      <c r="K47" s="1042"/>
      <c r="L47" s="1042"/>
      <c r="M47" s="1042"/>
    </row>
    <row r="48" spans="1:21" x14ac:dyDescent="0.25">
      <c r="A48" s="149" t="s">
        <v>2069</v>
      </c>
    </row>
    <row r="49" spans="1:13" x14ac:dyDescent="0.25">
      <c r="A49" s="288" t="s">
        <v>976</v>
      </c>
      <c r="B49" s="246"/>
      <c r="C49" s="246"/>
      <c r="D49" s="236"/>
      <c r="E49" s="202">
        <f>E45-'A4-FinPerf RE'!C60</f>
        <v>-297359750</v>
      </c>
      <c r="F49" s="202">
        <f>F45-'A4-FinPerf RE'!D60</f>
        <v>260051.00000047684</v>
      </c>
      <c r="G49" s="255">
        <f>G45-'A4-FinPerf RE'!E60</f>
        <v>-2887563942</v>
      </c>
      <c r="H49" s="255">
        <f>H45-'A4-FinPerf RE'!F60</f>
        <v>-2987790079.2277331</v>
      </c>
      <c r="I49" s="255">
        <f>I45-'A4-FinPerf RE'!G60</f>
        <v>-3138031602</v>
      </c>
      <c r="J49" s="255">
        <f>J45-'A4-FinPerf RE'!H60</f>
        <v>-3138031602</v>
      </c>
      <c r="K49" s="255">
        <f>K45-'A4-FinPerf RE'!J60</f>
        <v>163.31002044677734</v>
      </c>
      <c r="L49" s="255">
        <f>L45-'A4-FinPerf RE'!K60</f>
        <v>-388.00262880325317</v>
      </c>
      <c r="M49" s="255">
        <f>M45-'A4-FinPerf RE'!L60</f>
        <v>39.393890857696533</v>
      </c>
    </row>
    <row r="50" spans="1:13" x14ac:dyDescent="0.25">
      <c r="E50" s="449"/>
    </row>
    <row r="51" spans="1:13" x14ac:dyDescent="0.25">
      <c r="E51" s="449"/>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39370078740157483"/>
  <pageSetup paperSize="9" scale="66"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enableFormatConditionsCalculation="0">
    <tabColor indexed="42"/>
    <pageSetUpPr fitToPage="1"/>
  </sheetPr>
  <dimension ref="A1:Y38"/>
  <sheetViews>
    <sheetView showGridLines="0" zoomScaleNormal="100" workbookViewId="0">
      <pane xSplit="4" ySplit="3" topLeftCell="E28" activePane="bottomRight" state="frozen"/>
      <selection pane="topRight"/>
      <selection pane="bottomLeft"/>
      <selection pane="bottomRight" activeCell="L36" sqref="L36"/>
    </sheetView>
  </sheetViews>
  <sheetFormatPr defaultColWidth="9.1796875" defaultRowHeight="10.5" x14ac:dyDescent="0.25"/>
  <cols>
    <col min="1" max="2" width="18.7265625" style="149" customWidth="1"/>
    <col min="3" max="3" width="5.26953125" style="149" customWidth="1"/>
    <col min="4" max="4" width="3" style="247" customWidth="1"/>
    <col min="5" max="13" width="9.26953125" style="149" customWidth="1"/>
    <col min="14" max="14" width="32.7265625" style="149" bestFit="1" customWidth="1"/>
    <col min="15" max="15" width="1.54296875" style="149" customWidth="1"/>
    <col min="16" max="17" width="8" style="149" bestFit="1" customWidth="1"/>
    <col min="18" max="18" width="8.453125" style="149" bestFit="1" customWidth="1"/>
    <col min="19" max="20" width="8" style="149" bestFit="1" customWidth="1"/>
    <col min="21" max="24" width="8.81640625" style="149" bestFit="1" customWidth="1"/>
    <col min="25" max="26" width="9.81640625" style="149" customWidth="1"/>
    <col min="27" max="16384" width="9.1796875" style="149"/>
  </cols>
  <sheetData>
    <row r="1" spans="1:25" ht="13" x14ac:dyDescent="0.3">
      <c r="A1" s="147" t="str">
        <f>muni&amp;" - "&amp;TableA5</f>
        <v>KZN225 Msunduzi - Supporting Table SA5 Reconciliation of IDP strategic objectives and budget (operating expenditure)</v>
      </c>
      <c r="B1" s="147"/>
      <c r="C1" s="147"/>
      <c r="D1" s="147"/>
      <c r="E1" s="147"/>
      <c r="F1" s="147"/>
      <c r="G1" s="147"/>
      <c r="H1" s="147"/>
      <c r="I1" s="147"/>
      <c r="J1" s="147"/>
      <c r="K1" s="147"/>
      <c r="L1" s="147"/>
      <c r="M1" s="147"/>
      <c r="N1" s="246"/>
      <c r="O1" s="246"/>
      <c r="P1" s="246"/>
      <c r="Q1" s="246"/>
    </row>
    <row r="2" spans="1:25" ht="28.5" customHeight="1" x14ac:dyDescent="0.25">
      <c r="A2" s="975" t="s">
        <v>973</v>
      </c>
      <c r="B2" s="984" t="s">
        <v>1347</v>
      </c>
      <c r="C2" s="632" t="s">
        <v>2062</v>
      </c>
      <c r="D2" s="2703" t="str">
        <f>head27</f>
        <v>Ref</v>
      </c>
      <c r="E2" s="145" t="str">
        <f>head1b</f>
        <v>2009/10</v>
      </c>
      <c r="F2" s="150" t="str">
        <f>head1A</f>
        <v>2010/11</v>
      </c>
      <c r="G2" s="146" t="str">
        <f>Head1</f>
        <v>2011/12</v>
      </c>
      <c r="H2" s="2677" t="str">
        <f>Head2</f>
        <v>Current Year 2012/13</v>
      </c>
      <c r="I2" s="2678"/>
      <c r="J2" s="2682"/>
      <c r="K2" s="2674" t="str">
        <f>Head3</f>
        <v>2013/14 Medium Term Revenue &amp; Expenditure Framework</v>
      </c>
      <c r="L2" s="2675"/>
      <c r="M2" s="2676"/>
      <c r="N2" s="246"/>
      <c r="O2" s="246"/>
      <c r="P2" s="246"/>
      <c r="Q2" s="246"/>
    </row>
    <row r="3" spans="1:25" ht="21" x14ac:dyDescent="0.25">
      <c r="A3" s="991" t="s">
        <v>665</v>
      </c>
      <c r="B3" s="990"/>
      <c r="C3" s="990"/>
      <c r="D3" s="2709"/>
      <c r="E3" s="389" t="str">
        <f>Head5</f>
        <v>Audited Outcome</v>
      </c>
      <c r="F3" s="390" t="str">
        <f>Head5</f>
        <v>Audited Outcome</v>
      </c>
      <c r="G3" s="391" t="str">
        <f>Head5</f>
        <v>Audited Outcome</v>
      </c>
      <c r="H3" s="299" t="str">
        <f>Head6</f>
        <v>Original Budget</v>
      </c>
      <c r="I3" s="390" t="str">
        <f>Head7</f>
        <v>Adjusted Budget</v>
      </c>
      <c r="J3" s="391" t="str">
        <f>Head8</f>
        <v>Full Year Forecast</v>
      </c>
      <c r="K3" s="299" t="str">
        <f>Head9</f>
        <v>Budget Year 2013/14</v>
      </c>
      <c r="L3" s="390" t="str">
        <f>Head10</f>
        <v>Budget Year +1 2014/15</v>
      </c>
      <c r="M3" s="391" t="str">
        <f>Head11</f>
        <v>Budget Year +2 2015/16</v>
      </c>
      <c r="N3" s="246"/>
      <c r="O3" s="246"/>
      <c r="P3" s="246"/>
      <c r="Q3" s="246"/>
    </row>
    <row r="4" spans="1:25" ht="42.75" customHeight="1" x14ac:dyDescent="0.25">
      <c r="A4" s="1696" t="s">
        <v>2390</v>
      </c>
      <c r="B4" s="1697" t="s">
        <v>2391</v>
      </c>
      <c r="C4" s="1697"/>
      <c r="D4" s="441"/>
      <c r="E4" s="1698">
        <v>55341000</v>
      </c>
      <c r="F4" s="1699"/>
      <c r="G4" s="1699"/>
      <c r="H4" s="1700"/>
      <c r="I4" s="1698"/>
      <c r="J4" s="1701"/>
      <c r="K4" s="1702"/>
      <c r="L4" s="1698"/>
      <c r="M4" s="1699"/>
      <c r="N4" s="444"/>
      <c r="O4" s="444"/>
      <c r="P4" s="255"/>
      <c r="Q4" s="255"/>
      <c r="R4" s="255"/>
      <c r="S4" s="255"/>
      <c r="T4" s="255"/>
      <c r="U4" s="255"/>
      <c r="V4" s="255"/>
      <c r="W4" s="255"/>
      <c r="X4" s="255"/>
      <c r="Y4" s="445"/>
    </row>
    <row r="5" spans="1:25" ht="42.75" customHeight="1" x14ac:dyDescent="0.25">
      <c r="A5" s="1696" t="s">
        <v>2392</v>
      </c>
      <c r="B5" s="1697" t="s">
        <v>2393</v>
      </c>
      <c r="C5" s="1697"/>
      <c r="D5" s="441"/>
      <c r="E5" s="1698">
        <v>158553000</v>
      </c>
      <c r="F5" s="1699"/>
      <c r="G5" s="1699"/>
      <c r="H5" s="1700"/>
      <c r="I5" s="1698"/>
      <c r="J5" s="1701"/>
      <c r="K5" s="1702"/>
      <c r="L5" s="1698"/>
      <c r="M5" s="1699"/>
      <c r="N5" s="444"/>
      <c r="O5" s="444"/>
      <c r="P5" s="255"/>
      <c r="Q5" s="255"/>
      <c r="R5" s="255"/>
      <c r="S5" s="255"/>
      <c r="T5" s="255"/>
      <c r="U5" s="255"/>
      <c r="V5" s="255"/>
      <c r="W5" s="255"/>
      <c r="X5" s="255"/>
      <c r="Y5" s="445"/>
    </row>
    <row r="6" spans="1:25" ht="42.75" customHeight="1" x14ac:dyDescent="0.25">
      <c r="A6" s="1696" t="s">
        <v>2394</v>
      </c>
      <c r="B6" s="1697" t="s">
        <v>2393</v>
      </c>
      <c r="C6" s="1697"/>
      <c r="D6" s="441"/>
      <c r="E6" s="1698">
        <v>20896000</v>
      </c>
      <c r="F6" s="1699"/>
      <c r="G6" s="1699"/>
      <c r="H6" s="1700"/>
      <c r="I6" s="1698"/>
      <c r="J6" s="1701"/>
      <c r="K6" s="1702"/>
      <c r="L6" s="1698"/>
      <c r="M6" s="1699"/>
      <c r="N6" s="444"/>
      <c r="O6" s="444"/>
      <c r="P6" s="255"/>
      <c r="Q6" s="255"/>
      <c r="R6" s="255"/>
      <c r="S6" s="255"/>
      <c r="T6" s="255"/>
      <c r="U6" s="255"/>
      <c r="V6" s="255"/>
      <c r="W6" s="255"/>
      <c r="X6" s="255"/>
      <c r="Y6" s="445"/>
    </row>
    <row r="7" spans="1:25" ht="42.75" customHeight="1" x14ac:dyDescent="0.25">
      <c r="A7" s="1696" t="s">
        <v>2395</v>
      </c>
      <c r="B7" s="1697" t="s">
        <v>2393</v>
      </c>
      <c r="C7" s="1697"/>
      <c r="D7" s="441"/>
      <c r="E7" s="1698">
        <v>260688000</v>
      </c>
      <c r="F7" s="1699"/>
      <c r="G7" s="1699"/>
      <c r="H7" s="1700"/>
      <c r="I7" s="1698"/>
      <c r="J7" s="1701"/>
      <c r="K7" s="1702"/>
      <c r="L7" s="1698"/>
      <c r="M7" s="1699"/>
      <c r="N7" s="446"/>
      <c r="O7" s="446"/>
      <c r="P7" s="255"/>
      <c r="Q7" s="255"/>
      <c r="R7" s="255"/>
      <c r="S7" s="255"/>
      <c r="T7" s="255"/>
      <c r="U7" s="255"/>
      <c r="V7" s="255"/>
      <c r="W7" s="255"/>
      <c r="X7" s="255"/>
    </row>
    <row r="8" spans="1:25" ht="42.75" customHeight="1" x14ac:dyDescent="0.25">
      <c r="A8" s="1696" t="s">
        <v>2396</v>
      </c>
      <c r="B8" s="1697" t="s">
        <v>2393</v>
      </c>
      <c r="C8" s="1697"/>
      <c r="D8" s="441"/>
      <c r="E8" s="1698">
        <v>1400662000</v>
      </c>
      <c r="F8" s="1699"/>
      <c r="G8" s="1699"/>
      <c r="H8" s="1700"/>
      <c r="I8" s="1698"/>
      <c r="J8" s="1701"/>
      <c r="K8" s="1702"/>
      <c r="L8" s="1698"/>
      <c r="M8" s="1699"/>
      <c r="N8" s="446"/>
      <c r="O8" s="446"/>
      <c r="P8" s="255"/>
      <c r="Q8" s="255"/>
      <c r="R8" s="255"/>
      <c r="S8" s="255"/>
      <c r="T8" s="255"/>
      <c r="U8" s="255"/>
      <c r="V8" s="255"/>
      <c r="W8" s="255"/>
      <c r="X8" s="255"/>
    </row>
    <row r="9" spans="1:25" ht="42.75" customHeight="1" x14ac:dyDescent="0.25">
      <c r="A9" s="1696" t="s">
        <v>2397</v>
      </c>
      <c r="B9" s="1697" t="s">
        <v>2398</v>
      </c>
      <c r="C9" s="1697"/>
      <c r="D9" s="441"/>
      <c r="E9" s="1698">
        <v>22580000</v>
      </c>
      <c r="F9" s="1699"/>
      <c r="G9" s="1699"/>
      <c r="H9" s="1700"/>
      <c r="I9" s="1698"/>
      <c r="J9" s="1701"/>
      <c r="K9" s="1702"/>
      <c r="L9" s="1698"/>
      <c r="M9" s="1699"/>
      <c r="N9" s="447"/>
      <c r="O9" s="447"/>
      <c r="P9" s="255"/>
      <c r="Q9" s="255"/>
      <c r="R9" s="255"/>
      <c r="S9" s="255"/>
      <c r="T9" s="255"/>
      <c r="U9" s="255"/>
      <c r="V9" s="255"/>
      <c r="W9" s="255"/>
      <c r="X9" s="255"/>
    </row>
    <row r="10" spans="1:25" ht="42.75" customHeight="1" x14ac:dyDescent="0.25">
      <c r="A10" s="1696" t="s">
        <v>2399</v>
      </c>
      <c r="B10" s="1697" t="s">
        <v>2400</v>
      </c>
      <c r="C10" s="1697"/>
      <c r="D10" s="441"/>
      <c r="E10" s="1698">
        <v>262582000</v>
      </c>
      <c r="F10" s="1699"/>
      <c r="G10" s="1699"/>
      <c r="H10" s="1700"/>
      <c r="I10" s="1698"/>
      <c r="J10" s="1701"/>
      <c r="K10" s="1702"/>
      <c r="L10" s="1698"/>
      <c r="M10" s="1699"/>
      <c r="N10" s="447"/>
      <c r="O10" s="447"/>
      <c r="P10" s="255"/>
      <c r="Q10" s="255"/>
      <c r="R10" s="255"/>
      <c r="S10" s="255"/>
      <c r="T10" s="255"/>
      <c r="U10" s="255"/>
      <c r="V10" s="255"/>
      <c r="W10" s="255"/>
      <c r="X10" s="255"/>
    </row>
    <row r="11" spans="1:25" ht="42.75" customHeight="1" x14ac:dyDescent="0.25">
      <c r="A11" s="1696" t="s">
        <v>2401</v>
      </c>
      <c r="B11" s="1697" t="s">
        <v>2402</v>
      </c>
      <c r="C11" s="1697"/>
      <c r="D11" s="441"/>
      <c r="E11" s="1698">
        <v>120434000</v>
      </c>
      <c r="F11" s="1699"/>
      <c r="G11" s="1699"/>
      <c r="H11" s="1700"/>
      <c r="I11" s="1698"/>
      <c r="J11" s="1701"/>
      <c r="K11" s="1702"/>
      <c r="L11" s="1698"/>
      <c r="M11" s="1699"/>
      <c r="N11" s="447"/>
      <c r="O11" s="447"/>
      <c r="P11" s="255"/>
      <c r="Q11" s="255"/>
      <c r="R11" s="255"/>
      <c r="S11" s="255"/>
      <c r="T11" s="255"/>
      <c r="U11" s="255"/>
      <c r="V11" s="255"/>
      <c r="W11" s="255"/>
      <c r="X11" s="255"/>
    </row>
    <row r="12" spans="1:25" ht="42.75" customHeight="1" x14ac:dyDescent="0.25">
      <c r="A12" s="1696" t="s">
        <v>2403</v>
      </c>
      <c r="B12" s="1697" t="s">
        <v>2404</v>
      </c>
      <c r="C12" s="1697"/>
      <c r="D12" s="441"/>
      <c r="E12" s="1698">
        <v>20873000</v>
      </c>
      <c r="F12" s="1699"/>
      <c r="G12" s="1699"/>
      <c r="H12" s="1700"/>
      <c r="I12" s="1698"/>
      <c r="J12" s="1701"/>
      <c r="K12" s="1702"/>
      <c r="L12" s="1698"/>
      <c r="M12" s="1699"/>
      <c r="N12" s="246"/>
      <c r="O12" s="246"/>
      <c r="P12" s="255"/>
      <c r="Q12" s="255"/>
      <c r="R12" s="255"/>
      <c r="S12" s="255"/>
      <c r="T12" s="255"/>
      <c r="U12" s="255"/>
      <c r="V12" s="255"/>
      <c r="W12" s="255"/>
      <c r="X12" s="255"/>
    </row>
    <row r="13" spans="1:25" ht="42.75" customHeight="1" x14ac:dyDescent="0.25">
      <c r="A13" s="1696" t="s">
        <v>2405</v>
      </c>
      <c r="B13" s="1697" t="s">
        <v>2402</v>
      </c>
      <c r="C13" s="1697"/>
      <c r="D13" s="441"/>
      <c r="E13" s="1698">
        <v>-9022000</v>
      </c>
      <c r="F13" s="1699"/>
      <c r="G13" s="1699"/>
      <c r="H13" s="1700"/>
      <c r="I13" s="1698"/>
      <c r="J13" s="1701"/>
      <c r="K13" s="1702"/>
      <c r="L13" s="1698"/>
      <c r="M13" s="1699"/>
      <c r="N13" s="246"/>
      <c r="O13" s="246"/>
      <c r="P13" s="255"/>
      <c r="Q13" s="255"/>
      <c r="R13" s="255"/>
      <c r="S13" s="255"/>
      <c r="T13" s="255"/>
      <c r="U13" s="255"/>
      <c r="V13" s="255"/>
      <c r="W13" s="255"/>
      <c r="X13" s="255"/>
    </row>
    <row r="14" spans="1:25" ht="42.75" customHeight="1" x14ac:dyDescent="0.25">
      <c r="A14" s="1696" t="s">
        <v>2406</v>
      </c>
      <c r="B14" s="1697" t="s">
        <v>2404</v>
      </c>
      <c r="C14" s="1697"/>
      <c r="D14" s="441"/>
      <c r="E14" s="1698">
        <v>98984000</v>
      </c>
      <c r="F14" s="1699"/>
      <c r="G14" s="1699"/>
      <c r="H14" s="1700"/>
      <c r="I14" s="1698"/>
      <c r="J14" s="1701"/>
      <c r="K14" s="1702"/>
      <c r="L14" s="1698"/>
      <c r="M14" s="1699"/>
      <c r="N14" s="246"/>
      <c r="O14" s="246"/>
      <c r="P14" s="255"/>
      <c r="Q14" s="255"/>
      <c r="R14" s="255"/>
      <c r="S14" s="255"/>
      <c r="T14" s="255"/>
      <c r="U14" s="255"/>
      <c r="V14" s="255"/>
      <c r="W14" s="255"/>
      <c r="X14" s="255"/>
    </row>
    <row r="15" spans="1:25" ht="42.75" customHeight="1" x14ac:dyDescent="0.25">
      <c r="A15" s="1696" t="s">
        <v>2407</v>
      </c>
      <c r="B15" s="1697" t="s">
        <v>2404</v>
      </c>
      <c r="C15" s="1697"/>
      <c r="D15" s="441"/>
      <c r="E15" s="1698">
        <v>125954000</v>
      </c>
      <c r="F15" s="1699"/>
      <c r="G15" s="1699"/>
      <c r="H15" s="1700"/>
      <c r="I15" s="1698"/>
      <c r="J15" s="1701"/>
      <c r="K15" s="1702"/>
      <c r="L15" s="1698"/>
      <c r="M15" s="1699"/>
      <c r="N15" s="246"/>
      <c r="O15" s="246"/>
      <c r="P15" s="255"/>
      <c r="Q15" s="255"/>
      <c r="R15" s="255"/>
      <c r="S15" s="255"/>
      <c r="T15" s="255"/>
      <c r="U15" s="255"/>
      <c r="V15" s="255"/>
      <c r="W15" s="255"/>
      <c r="X15" s="255"/>
    </row>
    <row r="16" spans="1:25" ht="42.75" customHeight="1" x14ac:dyDescent="0.25">
      <c r="A16" s="1696" t="s">
        <v>2408</v>
      </c>
      <c r="B16" s="1697" t="s">
        <v>2404</v>
      </c>
      <c r="C16" s="1697"/>
      <c r="D16" s="441"/>
      <c r="E16" s="1698">
        <v>200626000</v>
      </c>
      <c r="F16" s="1699"/>
      <c r="G16" s="1699"/>
      <c r="H16" s="1700"/>
      <c r="I16" s="1698"/>
      <c r="J16" s="1701"/>
      <c r="K16" s="1702"/>
      <c r="L16" s="1698"/>
      <c r="M16" s="1699"/>
      <c r="N16" s="246"/>
      <c r="O16" s="246"/>
      <c r="P16" s="255"/>
      <c r="Q16" s="255"/>
      <c r="R16" s="255"/>
      <c r="S16" s="255"/>
      <c r="T16" s="255"/>
      <c r="U16" s="255"/>
      <c r="V16" s="255"/>
      <c r="W16" s="255"/>
      <c r="X16" s="255"/>
    </row>
    <row r="17" spans="1:24" ht="42.75" customHeight="1" x14ac:dyDescent="0.25">
      <c r="A17" s="1696" t="s">
        <v>2409</v>
      </c>
      <c r="B17" s="1697" t="s">
        <v>2410</v>
      </c>
      <c r="C17" s="1697"/>
      <c r="D17" s="441"/>
      <c r="E17" s="1698"/>
      <c r="F17" s="1699">
        <v>807734727.47244</v>
      </c>
      <c r="G17" s="1699"/>
      <c r="H17" s="1700">
        <v>790732000</v>
      </c>
      <c r="I17" s="1698">
        <v>836754000</v>
      </c>
      <c r="J17" s="1701">
        <v>836754000</v>
      </c>
      <c r="K17" s="1698">
        <v>936989157.65484977</v>
      </c>
      <c r="L17" s="1699">
        <v>1035428000</v>
      </c>
      <c r="M17" s="1699">
        <v>1102731000</v>
      </c>
      <c r="N17" s="246"/>
      <c r="O17" s="246"/>
      <c r="P17" s="255"/>
      <c r="Q17" s="255"/>
      <c r="R17" s="255"/>
      <c r="S17" s="255"/>
      <c r="T17" s="255"/>
      <c r="U17" s="255"/>
      <c r="V17" s="255"/>
      <c r="W17" s="255"/>
      <c r="X17" s="255"/>
    </row>
    <row r="18" spans="1:24" ht="42.75" customHeight="1" x14ac:dyDescent="0.25">
      <c r="A18" s="1696" t="s">
        <v>2411</v>
      </c>
      <c r="B18" s="1697" t="s">
        <v>2412</v>
      </c>
      <c r="C18" s="1697"/>
      <c r="D18" s="441"/>
      <c r="E18" s="1698"/>
      <c r="F18" s="1699">
        <v>1958290329.2222342</v>
      </c>
      <c r="G18" s="1699"/>
      <c r="H18" s="1700">
        <v>2147483000</v>
      </c>
      <c r="I18" s="1698">
        <v>2247600000</v>
      </c>
      <c r="J18" s="1701">
        <v>2247600000</v>
      </c>
      <c r="K18" s="1698">
        <v>2488813000</v>
      </c>
      <c r="L18" s="1699">
        <v>2569492000</v>
      </c>
      <c r="M18" s="1699">
        <v>2844241000</v>
      </c>
      <c r="N18" s="246"/>
      <c r="O18" s="246"/>
      <c r="P18" s="255"/>
      <c r="Q18" s="255"/>
      <c r="R18" s="255"/>
      <c r="S18" s="255"/>
      <c r="T18" s="255"/>
      <c r="U18" s="255"/>
      <c r="V18" s="255"/>
      <c r="W18" s="255"/>
      <c r="X18" s="255"/>
    </row>
    <row r="19" spans="1:24" ht="42.75" customHeight="1" x14ac:dyDescent="0.25">
      <c r="A19" s="1696" t="s">
        <v>2413</v>
      </c>
      <c r="B19" s="1697" t="s">
        <v>2414</v>
      </c>
      <c r="C19" s="1697"/>
      <c r="D19" s="441"/>
      <c r="E19" s="1698"/>
      <c r="F19" s="1699">
        <v>7963653.6070977459</v>
      </c>
      <c r="G19" s="1699"/>
      <c r="H19" s="1700">
        <v>7795000</v>
      </c>
      <c r="I19" s="1698">
        <v>8249000</v>
      </c>
      <c r="J19" s="1701">
        <v>8249000</v>
      </c>
      <c r="K19" s="1698">
        <v>9238004.5470115338</v>
      </c>
      <c r="L19" s="1699">
        <v>10208533.377882233</v>
      </c>
      <c r="M19" s="1699">
        <v>10873000</v>
      </c>
      <c r="N19" s="246"/>
      <c r="O19" s="246"/>
      <c r="P19" s="255"/>
      <c r="Q19" s="255"/>
      <c r="R19" s="255"/>
      <c r="S19" s="255"/>
      <c r="T19" s="255"/>
      <c r="U19" s="255"/>
      <c r="V19" s="255"/>
      <c r="W19" s="255"/>
      <c r="X19" s="255"/>
    </row>
    <row r="20" spans="1:24" ht="42.75" customHeight="1" x14ac:dyDescent="0.25">
      <c r="A20" s="1696" t="s">
        <v>2415</v>
      </c>
      <c r="B20" s="1697" t="s">
        <v>2416</v>
      </c>
      <c r="C20" s="1697"/>
      <c r="D20" s="441"/>
      <c r="E20" s="1698"/>
      <c r="F20" s="1699">
        <v>240943.55682838906</v>
      </c>
      <c r="G20" s="1699"/>
      <c r="H20" s="1700">
        <v>245000</v>
      </c>
      <c r="I20" s="1698">
        <v>245000</v>
      </c>
      <c r="J20" s="1701">
        <v>245000</v>
      </c>
      <c r="K20" s="1698">
        <v>279499.559293987</v>
      </c>
      <c r="L20" s="1699">
        <v>308863.30112048588</v>
      </c>
      <c r="M20" s="1699">
        <v>329000</v>
      </c>
      <c r="N20" s="246"/>
      <c r="O20" s="246"/>
      <c r="P20" s="255"/>
      <c r="Q20" s="255"/>
      <c r="R20" s="255"/>
      <c r="S20" s="255"/>
      <c r="T20" s="255"/>
      <c r="U20" s="255"/>
      <c r="V20" s="255"/>
      <c r="W20" s="255"/>
      <c r="X20" s="255"/>
    </row>
    <row r="21" spans="1:24" ht="42.75" customHeight="1" x14ac:dyDescent="0.25">
      <c r="A21" s="1696" t="s">
        <v>2417</v>
      </c>
      <c r="B21" s="1697" t="s">
        <v>2416</v>
      </c>
      <c r="C21" s="1697"/>
      <c r="D21" s="441"/>
      <c r="E21" s="1698"/>
      <c r="F21" s="1699">
        <v>318912.94629859703</v>
      </c>
      <c r="G21" s="1699"/>
      <c r="H21" s="1700">
        <v>350000</v>
      </c>
      <c r="I21" s="1698">
        <v>350000</v>
      </c>
      <c r="J21" s="1701">
        <v>350000</v>
      </c>
      <c r="K21" s="1698">
        <v>369945.67988008721</v>
      </c>
      <c r="L21" s="1699">
        <v>408811.53520117351</v>
      </c>
      <c r="M21" s="1699">
        <v>437000</v>
      </c>
      <c r="N21" s="246"/>
      <c r="O21" s="246"/>
      <c r="P21" s="255"/>
      <c r="Q21" s="255"/>
      <c r="R21" s="255"/>
      <c r="S21" s="255"/>
      <c r="T21" s="255"/>
      <c r="U21" s="255"/>
      <c r="V21" s="255"/>
      <c r="W21" s="255"/>
      <c r="X21" s="255"/>
    </row>
    <row r="22" spans="1:24" ht="42.75" customHeight="1" x14ac:dyDescent="0.25">
      <c r="A22" s="1696" t="s">
        <v>2418</v>
      </c>
      <c r="B22" s="1697" t="s">
        <v>2419</v>
      </c>
      <c r="C22" s="1697"/>
      <c r="D22" s="441"/>
      <c r="E22" s="1698"/>
      <c r="F22" s="1699">
        <v>32877637.085100852</v>
      </c>
      <c r="G22" s="1699"/>
      <c r="H22" s="1700">
        <v>36041000</v>
      </c>
      <c r="I22" s="1698">
        <v>36041000</v>
      </c>
      <c r="J22" s="1701">
        <v>36041000</v>
      </c>
      <c r="K22" s="1698">
        <v>38138745.841036774</v>
      </c>
      <c r="L22" s="1699">
        <v>42145536.725757696</v>
      </c>
      <c r="M22" s="1699">
        <v>44886000</v>
      </c>
      <c r="N22" s="246"/>
      <c r="O22" s="246"/>
      <c r="P22" s="202"/>
      <c r="Q22" s="202"/>
      <c r="R22" s="202"/>
      <c r="S22" s="202"/>
      <c r="T22" s="202"/>
      <c r="U22" s="202"/>
      <c r="V22" s="202"/>
      <c r="W22" s="202"/>
      <c r="X22" s="202"/>
    </row>
    <row r="23" spans="1:24" ht="42.75" customHeight="1" x14ac:dyDescent="0.25">
      <c r="A23" s="1696"/>
      <c r="B23" s="1697"/>
      <c r="C23" s="1697"/>
      <c r="D23" s="441"/>
      <c r="E23" s="2323"/>
      <c r="F23" s="1698"/>
      <c r="G23" s="1699"/>
      <c r="H23" s="1700"/>
      <c r="I23" s="1698"/>
      <c r="J23" s="1701"/>
      <c r="K23" s="1702"/>
      <c r="L23" s="1698"/>
      <c r="M23" s="1699"/>
      <c r="N23" s="246"/>
      <c r="O23" s="246"/>
      <c r="P23" s="255"/>
      <c r="Q23" s="255"/>
      <c r="R23" s="255"/>
      <c r="S23" s="255"/>
      <c r="T23" s="255"/>
      <c r="U23" s="255"/>
      <c r="V23" s="255"/>
      <c r="W23" s="255"/>
      <c r="X23" s="255"/>
    </row>
    <row r="24" spans="1:24" ht="42.75" customHeight="1" x14ac:dyDescent="0.25">
      <c r="A24" s="1696"/>
      <c r="B24" s="1697"/>
      <c r="C24" s="1697"/>
      <c r="D24" s="441"/>
      <c r="E24" s="1698"/>
      <c r="F24" s="1698"/>
      <c r="G24" s="1699"/>
      <c r="H24" s="1700"/>
      <c r="I24" s="1698"/>
      <c r="J24" s="1701"/>
      <c r="K24" s="1702"/>
      <c r="L24" s="1698"/>
      <c r="M24" s="1699"/>
      <c r="N24" s="246"/>
      <c r="O24" s="246"/>
      <c r="P24" s="246"/>
      <c r="Q24" s="246"/>
    </row>
    <row r="25" spans="1:24" ht="42.75" customHeight="1" x14ac:dyDescent="0.25">
      <c r="A25" s="1696"/>
      <c r="B25" s="1697"/>
      <c r="C25" s="1697"/>
      <c r="D25" s="441"/>
      <c r="E25" s="1698"/>
      <c r="F25" s="1698"/>
      <c r="G25" s="1699"/>
      <c r="H25" s="1700"/>
      <c r="I25" s="1698"/>
      <c r="J25" s="1701"/>
      <c r="K25" s="1702"/>
      <c r="L25" s="1698"/>
      <c r="M25" s="1699"/>
      <c r="N25" s="246"/>
      <c r="O25" s="246"/>
      <c r="P25" s="246"/>
      <c r="Q25" s="246"/>
    </row>
    <row r="26" spans="1:24" ht="42.75" customHeight="1" x14ac:dyDescent="0.25">
      <c r="A26" s="1696"/>
      <c r="B26" s="1697"/>
      <c r="C26" s="1697"/>
      <c r="D26" s="441"/>
      <c r="E26" s="1698"/>
      <c r="F26" s="1698"/>
      <c r="G26" s="1699"/>
      <c r="H26" s="1700"/>
      <c r="I26" s="1698"/>
      <c r="J26" s="1701"/>
      <c r="K26" s="1702"/>
      <c r="L26" s="1698"/>
      <c r="M26" s="1699"/>
      <c r="N26" s="246"/>
      <c r="O26" s="246"/>
      <c r="P26" s="246"/>
      <c r="Q26" s="246"/>
    </row>
    <row r="27" spans="1:24" ht="42.75" customHeight="1" x14ac:dyDescent="0.25">
      <c r="A27" s="1696"/>
      <c r="B27" s="1697"/>
      <c r="C27" s="1697"/>
      <c r="D27" s="441"/>
      <c r="E27" s="1698"/>
      <c r="F27" s="1698"/>
      <c r="G27" s="1699"/>
      <c r="H27" s="1700"/>
      <c r="I27" s="1698"/>
      <c r="J27" s="1701"/>
      <c r="K27" s="1702"/>
      <c r="L27" s="1698"/>
      <c r="M27" s="1699"/>
      <c r="N27" s="246"/>
      <c r="O27" s="246"/>
      <c r="P27" s="246"/>
      <c r="Q27" s="246"/>
    </row>
    <row r="28" spans="1:24" ht="42.75" customHeight="1" x14ac:dyDescent="0.25">
      <c r="A28" s="1696"/>
      <c r="B28" s="1697"/>
      <c r="C28" s="1697"/>
      <c r="D28" s="441"/>
      <c r="E28" s="1698"/>
      <c r="F28" s="1698"/>
      <c r="G28" s="1699"/>
      <c r="H28" s="1700"/>
      <c r="I28" s="1698"/>
      <c r="J28" s="1701"/>
      <c r="K28" s="1702"/>
      <c r="L28" s="1698"/>
      <c r="M28" s="1699"/>
      <c r="N28" s="246"/>
      <c r="O28" s="246"/>
      <c r="P28" s="246"/>
      <c r="Q28" s="246"/>
    </row>
    <row r="29" spans="1:24" ht="42.75" customHeight="1" x14ac:dyDescent="0.25">
      <c r="A29" s="1696"/>
      <c r="B29" s="1697"/>
      <c r="C29" s="1697"/>
      <c r="D29" s="441"/>
      <c r="E29" s="1698"/>
      <c r="F29" s="1698"/>
      <c r="G29" s="1699"/>
      <c r="H29" s="1700"/>
      <c r="I29" s="1698"/>
      <c r="J29" s="1701"/>
      <c r="K29" s="1702"/>
      <c r="L29" s="1698"/>
      <c r="M29" s="1699"/>
      <c r="N29" s="246"/>
      <c r="O29" s="246"/>
      <c r="P29" s="246"/>
      <c r="Q29" s="246"/>
    </row>
    <row r="30" spans="1:24" ht="42.75" customHeight="1" x14ac:dyDescent="0.25">
      <c r="A30" s="1696"/>
      <c r="B30" s="1697"/>
      <c r="C30" s="1697"/>
      <c r="D30" s="441"/>
      <c r="E30" s="1698"/>
      <c r="F30" s="1698"/>
      <c r="G30" s="1699"/>
      <c r="H30" s="1700"/>
      <c r="I30" s="1698"/>
      <c r="J30" s="1701"/>
      <c r="K30" s="1702"/>
      <c r="L30" s="1698"/>
      <c r="M30" s="1699"/>
      <c r="N30" s="246"/>
      <c r="O30" s="246"/>
      <c r="P30" s="246"/>
      <c r="Q30" s="246"/>
    </row>
    <row r="31" spans="1:24" ht="12.75" customHeight="1" x14ac:dyDescent="0.25">
      <c r="A31" s="2333" t="s">
        <v>2068</v>
      </c>
      <c r="B31" s="2329"/>
      <c r="C31" s="2330"/>
      <c r="D31" s="441"/>
      <c r="E31" s="2323"/>
      <c r="F31" s="2323"/>
      <c r="G31" s="2324"/>
      <c r="H31" s="2325"/>
      <c r="I31" s="2323"/>
      <c r="J31" s="2326"/>
      <c r="K31" s="2327"/>
      <c r="L31" s="2323"/>
      <c r="M31" s="2324"/>
      <c r="N31" s="246"/>
      <c r="O31" s="246"/>
      <c r="P31" s="246"/>
      <c r="Q31" s="246"/>
    </row>
    <row r="32" spans="1:24" x14ac:dyDescent="0.25">
      <c r="A32" s="346" t="str">
        <f>'A4-FinPerf RE'!A36</f>
        <v>Total Expenditure</v>
      </c>
      <c r="B32" s="2331"/>
      <c r="C32" s="2332"/>
      <c r="D32" s="347">
        <v>1</v>
      </c>
      <c r="E32" s="230">
        <f t="shared" ref="E32:M32" si="0">SUM(E4:E31)</f>
        <v>2739151000</v>
      </c>
      <c r="F32" s="230">
        <f t="shared" si="0"/>
        <v>2807426203.8899999</v>
      </c>
      <c r="G32" s="228">
        <f t="shared" si="0"/>
        <v>0</v>
      </c>
      <c r="H32" s="229">
        <f t="shared" si="0"/>
        <v>2982646000</v>
      </c>
      <c r="I32" s="230">
        <f t="shared" si="0"/>
        <v>3129239000</v>
      </c>
      <c r="J32" s="231">
        <f t="shared" si="0"/>
        <v>3129239000</v>
      </c>
      <c r="K32" s="232">
        <f t="shared" si="0"/>
        <v>3473828353.2820725</v>
      </c>
      <c r="L32" s="230">
        <f t="shared" si="0"/>
        <v>3657991744.939961</v>
      </c>
      <c r="M32" s="228">
        <f t="shared" si="0"/>
        <v>4003497000</v>
      </c>
      <c r="N32" s="246"/>
      <c r="O32" s="246"/>
      <c r="P32" s="246"/>
      <c r="Q32" s="246"/>
    </row>
    <row r="33" spans="1:13" s="709" customFormat="1" x14ac:dyDescent="0.25">
      <c r="A33" s="1232" t="str">
        <f>head27a</f>
        <v>References</v>
      </c>
      <c r="B33" s="1041"/>
      <c r="C33" s="1041"/>
      <c r="D33" s="1038"/>
      <c r="E33" s="1042"/>
      <c r="F33" s="1042"/>
      <c r="G33" s="1042"/>
      <c r="H33" s="1042"/>
      <c r="I33" s="1042"/>
      <c r="J33" s="1042"/>
      <c r="K33" s="1042"/>
      <c r="L33" s="1042"/>
      <c r="M33" s="1042"/>
    </row>
    <row r="34" spans="1:13" s="709" customFormat="1" x14ac:dyDescent="0.25">
      <c r="A34" s="1194" t="str">
        <f>"1. Total expenditure must reconcile to "&amp;'Template names'!F103</f>
        <v>1. Total expenditure must reconcile to Table A4 Budgeted Financial Performance (revenue and expenditure)</v>
      </c>
      <c r="B34" s="1068"/>
      <c r="C34" s="1068"/>
      <c r="D34" s="1038"/>
      <c r="E34" s="1041"/>
      <c r="F34" s="1041"/>
      <c r="G34" s="1042"/>
      <c r="H34" s="1042"/>
      <c r="I34" s="1042"/>
      <c r="J34" s="1042"/>
      <c r="K34" s="1042"/>
      <c r="L34" s="1042"/>
      <c r="M34" s="1042"/>
    </row>
    <row r="35" spans="1:13" s="709" customFormat="1" x14ac:dyDescent="0.25">
      <c r="A35" s="709" t="s">
        <v>2069</v>
      </c>
    </row>
    <row r="36" spans="1:13" x14ac:dyDescent="0.25">
      <c r="A36" s="1263" t="s">
        <v>977</v>
      </c>
      <c r="B36" s="1044"/>
      <c r="C36" s="1044"/>
      <c r="D36" s="1043"/>
      <c r="E36" s="1413">
        <f>E32-'A4-FinPerf RE'!C36</f>
        <v>-67949182</v>
      </c>
      <c r="F36" s="1413">
        <f>F32-'A4-FinPerf RE'!D36</f>
        <v>224886.88999986649</v>
      </c>
      <c r="G36" s="1414">
        <f>G32-'A4-FinPerf RE'!E36</f>
        <v>-2653096169.5500002</v>
      </c>
      <c r="H36" s="1414">
        <f>H32-'A4-FinPerf RE'!F36</f>
        <v>-285.69261932373047</v>
      </c>
      <c r="I36" s="1414">
        <f>I32-'A4-FinPerf RE'!G36</f>
        <v>-1568</v>
      </c>
      <c r="J36" s="1414">
        <f>J32-'A4-FinPerf RE'!H36</f>
        <v>-94</v>
      </c>
      <c r="K36" s="1414">
        <f>K32-'A4-FinPerf RE'!J36</f>
        <v>-107.7179274559021</v>
      </c>
      <c r="L36" s="1414">
        <f>L32-'A4-FinPerf RE'!K36</f>
        <v>-610.06003904342651</v>
      </c>
      <c r="M36" s="1414">
        <f>M32-'A4-FinPerf RE'!L36</f>
        <v>-194</v>
      </c>
    </row>
    <row r="37" spans="1:13" x14ac:dyDescent="0.25">
      <c r="E37" s="449"/>
    </row>
    <row r="38" spans="1:13" x14ac:dyDescent="0.25">
      <c r="E38" s="449"/>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41"/>
  <pageSetup paperSize="9" scale="6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enableFormatConditionsCalculation="0">
    <tabColor indexed="42"/>
    <pageSetUpPr fitToPage="1"/>
  </sheetPr>
  <dimension ref="A1:X37"/>
  <sheetViews>
    <sheetView showGridLines="0" zoomScaleNormal="100" workbookViewId="0">
      <pane xSplit="4" ySplit="3" topLeftCell="E35" activePane="bottomRight" state="frozen"/>
      <selection pane="topRight"/>
      <selection pane="bottomLeft"/>
      <selection pane="bottomRight" activeCell="M19" sqref="M19"/>
    </sheetView>
  </sheetViews>
  <sheetFormatPr defaultColWidth="9.1796875" defaultRowHeight="10.5" x14ac:dyDescent="0.25"/>
  <cols>
    <col min="1" max="2" width="18.7265625" style="149" customWidth="1"/>
    <col min="3" max="3" width="4.453125" style="149" customWidth="1"/>
    <col min="4" max="4" width="3" style="247" customWidth="1"/>
    <col min="5" max="13" width="9.26953125" style="149" customWidth="1"/>
    <col min="14" max="14" width="32.7265625" style="149" bestFit="1" customWidth="1"/>
    <col min="15" max="15" width="1.54296875" style="149" customWidth="1"/>
    <col min="16" max="20" width="7.81640625" style="149" bestFit="1" customWidth="1"/>
    <col min="21" max="24" width="8.7265625" style="149" bestFit="1" customWidth="1"/>
    <col min="25" max="26" width="9.81640625" style="149" customWidth="1"/>
    <col min="27" max="16384" width="9.1796875" style="149"/>
  </cols>
  <sheetData>
    <row r="1" spans="1:24" ht="13" x14ac:dyDescent="0.3">
      <c r="A1" s="147" t="str">
        <f>muni&amp;" - "&amp;TableA6</f>
        <v>KZN225 Msunduzi - Supporting Table SA6 Reconciliation of IDP strategic objectives and budget (capital expenditure)</v>
      </c>
      <c r="B1" s="147"/>
      <c r="C1" s="147"/>
      <c r="D1" s="147"/>
      <c r="E1" s="147"/>
      <c r="F1" s="147"/>
      <c r="G1" s="147"/>
      <c r="H1" s="147"/>
      <c r="I1" s="147"/>
      <c r="J1" s="147"/>
      <c r="K1" s="147"/>
      <c r="L1" s="147"/>
      <c r="M1" s="147"/>
      <c r="N1" s="246"/>
      <c r="O1" s="246"/>
      <c r="P1" s="246"/>
      <c r="Q1" s="246"/>
    </row>
    <row r="2" spans="1:24" ht="28.5" customHeight="1" x14ac:dyDescent="0.25">
      <c r="A2" s="975" t="s">
        <v>973</v>
      </c>
      <c r="B2" s="984" t="s">
        <v>1347</v>
      </c>
      <c r="C2" s="632" t="s">
        <v>937</v>
      </c>
      <c r="D2" s="2703" t="str">
        <f>head27</f>
        <v>Ref</v>
      </c>
      <c r="E2" s="145" t="str">
        <f>head1b</f>
        <v>2009/10</v>
      </c>
      <c r="F2" s="150" t="str">
        <f>head1A</f>
        <v>2010/11</v>
      </c>
      <c r="G2" s="146" t="str">
        <f>Head1</f>
        <v>2011/12</v>
      </c>
      <c r="H2" s="2677" t="str">
        <f>Head2</f>
        <v>Current Year 2012/13</v>
      </c>
      <c r="I2" s="2678"/>
      <c r="J2" s="2682"/>
      <c r="K2" s="2674" t="str">
        <f>Head3</f>
        <v>2013/14 Medium Term Revenue &amp; Expenditure Framework</v>
      </c>
      <c r="L2" s="2675"/>
      <c r="M2" s="2676"/>
      <c r="N2" s="246"/>
      <c r="O2" s="246"/>
      <c r="P2" s="246"/>
      <c r="Q2" s="246"/>
    </row>
    <row r="3" spans="1:24" ht="21" x14ac:dyDescent="0.25">
      <c r="A3" s="991" t="s">
        <v>665</v>
      </c>
      <c r="B3" s="990"/>
      <c r="C3" s="990"/>
      <c r="D3" s="2709"/>
      <c r="E3" s="389" t="str">
        <f>Head5</f>
        <v>Audited Outcome</v>
      </c>
      <c r="F3" s="390" t="str">
        <f>Head5</f>
        <v>Audited Outcome</v>
      </c>
      <c r="G3" s="391" t="str">
        <f>Head5</f>
        <v>Audited Outcome</v>
      </c>
      <c r="H3" s="299" t="str">
        <f>Head6</f>
        <v>Original Budget</v>
      </c>
      <c r="I3" s="390" t="str">
        <f>Head7</f>
        <v>Adjusted Budget</v>
      </c>
      <c r="J3" s="391" t="str">
        <f>Head8</f>
        <v>Full Year Forecast</v>
      </c>
      <c r="K3" s="299" t="str">
        <f>Head9</f>
        <v>Budget Year 2013/14</v>
      </c>
      <c r="L3" s="390" t="str">
        <f>Head10</f>
        <v>Budget Year +1 2014/15</v>
      </c>
      <c r="M3" s="391" t="str">
        <f>Head11</f>
        <v>Budget Year +2 2015/16</v>
      </c>
      <c r="N3" s="246"/>
      <c r="O3" s="246"/>
      <c r="P3" s="246"/>
      <c r="Q3" s="246"/>
    </row>
    <row r="4" spans="1:24" ht="42.75" customHeight="1" x14ac:dyDescent="0.25">
      <c r="A4" s="1696" t="s">
        <v>2390</v>
      </c>
      <c r="B4" s="1697" t="s">
        <v>2391</v>
      </c>
      <c r="C4" s="1703" t="s">
        <v>406</v>
      </c>
      <c r="D4" s="441"/>
      <c r="E4" s="1698"/>
      <c r="F4" s="1698"/>
      <c r="G4" s="1699"/>
      <c r="H4" s="1700"/>
      <c r="I4" s="1698"/>
      <c r="J4" s="1701"/>
      <c r="K4" s="1698"/>
      <c r="L4" s="1699"/>
      <c r="M4" s="1699"/>
      <c r="N4" s="446"/>
      <c r="O4" s="446"/>
      <c r="P4" s="255"/>
      <c r="Q4" s="255"/>
      <c r="R4" s="255"/>
      <c r="S4" s="255"/>
      <c r="T4" s="255"/>
      <c r="U4" s="255"/>
      <c r="V4" s="255"/>
      <c r="W4" s="255"/>
      <c r="X4" s="255"/>
    </row>
    <row r="5" spans="1:24" ht="42.75" customHeight="1" x14ac:dyDescent="0.25">
      <c r="A5" s="1696" t="s">
        <v>2392</v>
      </c>
      <c r="B5" s="1697" t="s">
        <v>2393</v>
      </c>
      <c r="C5" s="1703" t="s">
        <v>1336</v>
      </c>
      <c r="D5" s="441"/>
      <c r="E5" s="1698"/>
      <c r="F5" s="1698"/>
      <c r="G5" s="1699"/>
      <c r="H5" s="1700"/>
      <c r="I5" s="1698"/>
      <c r="J5" s="1701"/>
      <c r="K5" s="1698"/>
      <c r="L5" s="1699"/>
      <c r="M5" s="1699"/>
      <c r="N5" s="446"/>
      <c r="O5" s="446"/>
      <c r="P5" s="255"/>
      <c r="Q5" s="255"/>
      <c r="R5" s="255"/>
      <c r="S5" s="255"/>
      <c r="T5" s="255"/>
      <c r="U5" s="255"/>
      <c r="V5" s="255"/>
      <c r="W5" s="255"/>
      <c r="X5" s="255"/>
    </row>
    <row r="6" spans="1:24" ht="42.75" customHeight="1" x14ac:dyDescent="0.25">
      <c r="A6" s="1696" t="s">
        <v>2394</v>
      </c>
      <c r="B6" s="1697" t="s">
        <v>2393</v>
      </c>
      <c r="C6" s="1703" t="s">
        <v>495</v>
      </c>
      <c r="D6" s="441"/>
      <c r="E6" s="1698"/>
      <c r="F6" s="1698"/>
      <c r="G6" s="1699"/>
      <c r="H6" s="1700"/>
      <c r="I6" s="1698"/>
      <c r="J6" s="1701"/>
      <c r="K6" s="1698"/>
      <c r="L6" s="1699"/>
      <c r="M6" s="1699"/>
      <c r="N6" s="446"/>
      <c r="O6" s="446"/>
      <c r="P6" s="255"/>
      <c r="Q6" s="255"/>
      <c r="R6" s="255"/>
      <c r="S6" s="255"/>
      <c r="T6" s="255"/>
      <c r="U6" s="255"/>
      <c r="V6" s="255"/>
      <c r="W6" s="255"/>
      <c r="X6" s="255"/>
    </row>
    <row r="7" spans="1:24" ht="42.75" customHeight="1" x14ac:dyDescent="0.25">
      <c r="A7" s="1696" t="s">
        <v>2395</v>
      </c>
      <c r="B7" s="1697" t="s">
        <v>2393</v>
      </c>
      <c r="C7" s="1703" t="s">
        <v>545</v>
      </c>
      <c r="D7" s="441"/>
      <c r="E7" s="1698"/>
      <c r="F7" s="1698"/>
      <c r="G7" s="1699"/>
      <c r="H7" s="1700"/>
      <c r="I7" s="1698"/>
      <c r="J7" s="1701"/>
      <c r="K7" s="1698"/>
      <c r="L7" s="1699"/>
      <c r="M7" s="1699"/>
      <c r="N7" s="446"/>
      <c r="O7" s="446"/>
      <c r="P7" s="255"/>
      <c r="Q7" s="255"/>
      <c r="R7" s="255"/>
      <c r="S7" s="255"/>
      <c r="T7" s="255"/>
      <c r="U7" s="255"/>
      <c r="V7" s="255"/>
      <c r="W7" s="255"/>
      <c r="X7" s="255"/>
    </row>
    <row r="8" spans="1:24" ht="42.75" customHeight="1" x14ac:dyDescent="0.25">
      <c r="A8" s="1696" t="s">
        <v>2396</v>
      </c>
      <c r="B8" s="1697" t="s">
        <v>2393</v>
      </c>
      <c r="C8" s="1703" t="s">
        <v>1542</v>
      </c>
      <c r="D8" s="441"/>
      <c r="E8" s="1698"/>
      <c r="F8" s="1698"/>
      <c r="G8" s="1699"/>
      <c r="H8" s="1700"/>
      <c r="I8" s="1698"/>
      <c r="J8" s="1701"/>
      <c r="K8" s="1698"/>
      <c r="L8" s="1699"/>
      <c r="M8" s="1699"/>
      <c r="N8" s="446"/>
      <c r="O8" s="446"/>
      <c r="P8" s="255"/>
      <c r="Q8" s="255"/>
      <c r="R8" s="255"/>
      <c r="S8" s="255"/>
      <c r="T8" s="255"/>
      <c r="U8" s="255"/>
      <c r="V8" s="255"/>
      <c r="W8" s="255"/>
      <c r="X8" s="255"/>
    </row>
    <row r="9" spans="1:24" ht="42.75" customHeight="1" x14ac:dyDescent="0.25">
      <c r="A9" s="1696" t="s">
        <v>2423</v>
      </c>
      <c r="B9" s="1697" t="s">
        <v>2391</v>
      </c>
      <c r="C9" s="1703" t="s">
        <v>1543</v>
      </c>
      <c r="D9" s="441"/>
      <c r="E9" s="1698"/>
      <c r="F9" s="1698"/>
      <c r="G9" s="1699"/>
      <c r="H9" s="1700"/>
      <c r="I9" s="1698"/>
      <c r="J9" s="1701"/>
      <c r="K9" s="1698"/>
      <c r="L9" s="1699"/>
      <c r="M9" s="1699"/>
      <c r="N9" s="309"/>
      <c r="O9" s="309"/>
      <c r="P9" s="255"/>
      <c r="Q9" s="255"/>
      <c r="R9" s="255"/>
      <c r="S9" s="255"/>
      <c r="T9" s="255"/>
      <c r="U9" s="255"/>
      <c r="V9" s="255"/>
      <c r="W9" s="255"/>
      <c r="X9" s="255"/>
    </row>
    <row r="10" spans="1:24" ht="42.75" customHeight="1" x14ac:dyDescent="0.25">
      <c r="A10" s="1696" t="s">
        <v>2397</v>
      </c>
      <c r="B10" s="1697" t="s">
        <v>2398</v>
      </c>
      <c r="C10" s="1703" t="s">
        <v>1544</v>
      </c>
      <c r="D10" s="441"/>
      <c r="E10" s="1698">
        <v>4226110</v>
      </c>
      <c r="F10" s="1699"/>
      <c r="G10" s="1699"/>
      <c r="H10" s="1700"/>
      <c r="I10" s="1698"/>
      <c r="J10" s="1701"/>
      <c r="K10" s="1698"/>
      <c r="L10" s="1699"/>
      <c r="M10" s="1699"/>
      <c r="N10" s="246"/>
      <c r="O10" s="246"/>
      <c r="P10" s="255"/>
      <c r="Q10" s="255"/>
      <c r="R10" s="255"/>
      <c r="S10" s="255"/>
      <c r="T10" s="255"/>
      <c r="U10" s="255"/>
      <c r="V10" s="255"/>
      <c r="W10" s="255"/>
      <c r="X10" s="255"/>
    </row>
    <row r="11" spans="1:24" ht="42.75" customHeight="1" x14ac:dyDescent="0.25">
      <c r="A11" s="1696" t="s">
        <v>2399</v>
      </c>
      <c r="B11" s="1697" t="s">
        <v>2400</v>
      </c>
      <c r="C11" s="1703"/>
      <c r="D11" s="441"/>
      <c r="E11" s="1698">
        <v>95082657</v>
      </c>
      <c r="F11" s="1699"/>
      <c r="G11" s="1699"/>
      <c r="H11" s="1700"/>
      <c r="I11" s="1698"/>
      <c r="J11" s="1701"/>
      <c r="K11" s="1698"/>
      <c r="L11" s="1699"/>
      <c r="M11" s="1699"/>
      <c r="N11" s="246"/>
      <c r="O11" s="246"/>
      <c r="P11" s="255"/>
      <c r="Q11" s="255"/>
      <c r="R11" s="255"/>
      <c r="S11" s="255"/>
      <c r="T11" s="255"/>
      <c r="U11" s="255"/>
      <c r="V11" s="255"/>
      <c r="W11" s="255"/>
      <c r="X11" s="255"/>
    </row>
    <row r="12" spans="1:24" ht="42.75" customHeight="1" x14ac:dyDescent="0.25">
      <c r="A12" s="1696" t="s">
        <v>2401</v>
      </c>
      <c r="B12" s="1697" t="s">
        <v>2402</v>
      </c>
      <c r="C12" s="1703"/>
      <c r="D12" s="441"/>
      <c r="E12" s="1698">
        <v>3500000</v>
      </c>
      <c r="F12" s="1699"/>
      <c r="G12" s="1699"/>
      <c r="H12" s="1700"/>
      <c r="I12" s="1698"/>
      <c r="J12" s="1701"/>
      <c r="K12" s="1698"/>
      <c r="L12" s="1699"/>
      <c r="M12" s="1699"/>
      <c r="N12" s="246"/>
      <c r="O12" s="246"/>
      <c r="P12" s="255"/>
      <c r="Q12" s="255"/>
      <c r="R12" s="255"/>
      <c r="S12" s="255"/>
      <c r="T12" s="255"/>
      <c r="U12" s="255"/>
      <c r="V12" s="255"/>
      <c r="W12" s="255"/>
      <c r="X12" s="255"/>
    </row>
    <row r="13" spans="1:24" ht="42.75" customHeight="1" x14ac:dyDescent="0.25">
      <c r="A13" s="1696" t="s">
        <v>2403</v>
      </c>
      <c r="B13" s="1697" t="s">
        <v>2404</v>
      </c>
      <c r="C13" s="1703"/>
      <c r="D13" s="441"/>
      <c r="E13" s="1698">
        <v>13390000</v>
      </c>
      <c r="F13" s="1699"/>
      <c r="G13" s="1699"/>
      <c r="H13" s="1700"/>
      <c r="I13" s="1698"/>
      <c r="J13" s="1701"/>
      <c r="K13" s="1698"/>
      <c r="L13" s="1699"/>
      <c r="M13" s="1699"/>
      <c r="N13" s="246"/>
      <c r="O13" s="246"/>
      <c r="P13" s="255"/>
      <c r="Q13" s="255"/>
      <c r="R13" s="255"/>
      <c r="S13" s="255"/>
      <c r="T13" s="255"/>
      <c r="U13" s="255"/>
      <c r="V13" s="255"/>
      <c r="W13" s="255"/>
      <c r="X13" s="255"/>
    </row>
    <row r="14" spans="1:24" ht="42.75" customHeight="1" x14ac:dyDescent="0.25">
      <c r="A14" s="1696" t="s">
        <v>2405</v>
      </c>
      <c r="B14" s="1697" t="s">
        <v>2402</v>
      </c>
      <c r="C14" s="1703"/>
      <c r="D14" s="441"/>
      <c r="E14" s="1698">
        <v>11225227</v>
      </c>
      <c r="F14" s="1699"/>
      <c r="G14" s="1699"/>
      <c r="H14" s="1700"/>
      <c r="I14" s="1698"/>
      <c r="J14" s="1701"/>
      <c r="K14" s="1698"/>
      <c r="L14" s="1699"/>
      <c r="M14" s="1699"/>
      <c r="N14" s="246"/>
      <c r="O14" s="246"/>
      <c r="P14" s="255"/>
      <c r="Q14" s="255"/>
      <c r="R14" s="255"/>
      <c r="S14" s="255"/>
      <c r="T14" s="255"/>
      <c r="U14" s="255"/>
      <c r="V14" s="255"/>
      <c r="W14" s="255"/>
      <c r="X14" s="255"/>
    </row>
    <row r="15" spans="1:24" ht="42.75" customHeight="1" x14ac:dyDescent="0.25">
      <c r="A15" s="1696" t="s">
        <v>2406</v>
      </c>
      <c r="B15" s="1697" t="s">
        <v>2404</v>
      </c>
      <c r="C15" s="1703"/>
      <c r="D15" s="441"/>
      <c r="E15" s="1698">
        <v>5100000</v>
      </c>
      <c r="F15" s="1699"/>
      <c r="G15" s="1699"/>
      <c r="H15" s="1700"/>
      <c r="I15" s="1698"/>
      <c r="J15" s="1701"/>
      <c r="K15" s="1698"/>
      <c r="L15" s="1699"/>
      <c r="M15" s="1699"/>
      <c r="N15" s="246"/>
      <c r="O15" s="246"/>
      <c r="P15" s="255"/>
      <c r="Q15" s="255"/>
      <c r="R15" s="255"/>
      <c r="S15" s="255"/>
      <c r="T15" s="255"/>
      <c r="U15" s="255"/>
      <c r="V15" s="255"/>
      <c r="W15" s="255"/>
      <c r="X15" s="255"/>
    </row>
    <row r="16" spans="1:24" ht="42.75" customHeight="1" x14ac:dyDescent="0.25">
      <c r="A16" s="1696" t="s">
        <v>2407</v>
      </c>
      <c r="B16" s="1697" t="s">
        <v>2404</v>
      </c>
      <c r="C16" s="1703"/>
      <c r="D16" s="441"/>
      <c r="E16" s="1698">
        <v>17980000</v>
      </c>
      <c r="F16" s="1699"/>
      <c r="G16" s="1699"/>
      <c r="H16" s="1700"/>
      <c r="I16" s="1698"/>
      <c r="J16" s="1701"/>
      <c r="K16" s="1698"/>
      <c r="L16" s="1699"/>
      <c r="M16" s="1699"/>
      <c r="N16" s="246"/>
      <c r="O16" s="246"/>
      <c r="P16" s="255"/>
      <c r="Q16" s="255"/>
      <c r="R16" s="255"/>
      <c r="S16" s="255"/>
      <c r="T16" s="255"/>
      <c r="U16" s="255"/>
      <c r="V16" s="255"/>
      <c r="W16" s="255"/>
      <c r="X16" s="255"/>
    </row>
    <row r="17" spans="1:24" ht="42.75" customHeight="1" x14ac:dyDescent="0.25">
      <c r="A17" s="1696" t="s">
        <v>2408</v>
      </c>
      <c r="B17" s="1697" t="s">
        <v>2404</v>
      </c>
      <c r="C17" s="1703"/>
      <c r="D17" s="441"/>
      <c r="E17" s="1698">
        <v>1495000</v>
      </c>
      <c r="F17" s="1699"/>
      <c r="G17" s="1699"/>
      <c r="H17" s="1700"/>
      <c r="I17" s="1698"/>
      <c r="J17" s="1701"/>
      <c r="K17" s="1698"/>
      <c r="L17" s="1699"/>
      <c r="M17" s="1699"/>
      <c r="N17" s="246"/>
      <c r="O17" s="246"/>
      <c r="P17" s="255"/>
      <c r="Q17" s="255"/>
      <c r="R17" s="255"/>
      <c r="S17" s="255"/>
      <c r="T17" s="255"/>
      <c r="U17" s="255"/>
      <c r="V17" s="255"/>
      <c r="W17" s="255"/>
      <c r="X17" s="255"/>
    </row>
    <row r="18" spans="1:24" ht="42.75" customHeight="1" x14ac:dyDescent="0.25">
      <c r="A18" s="1696" t="s">
        <v>2424</v>
      </c>
      <c r="B18" s="1697" t="s">
        <v>2425</v>
      </c>
      <c r="C18" s="1703"/>
      <c r="D18" s="441"/>
      <c r="E18" s="1698">
        <v>1315000</v>
      </c>
      <c r="F18" s="1699"/>
      <c r="G18" s="1699"/>
      <c r="H18" s="1700">
        <v>230014000</v>
      </c>
      <c r="I18" s="1698">
        <v>255756000</v>
      </c>
      <c r="J18" s="1701">
        <v>255756000</v>
      </c>
      <c r="K18" s="1698">
        <f>429898000+2322000-988000-8300000</f>
        <v>422932000</v>
      </c>
      <c r="L18" s="1699">
        <f>216135000+1934000-3868000</f>
        <v>214201000</v>
      </c>
      <c r="M18" s="1699">
        <f>20000000+180000000</f>
        <v>200000000</v>
      </c>
      <c r="N18" s="246"/>
      <c r="O18" s="246"/>
      <c r="P18" s="255"/>
      <c r="Q18" s="255"/>
      <c r="R18" s="255"/>
      <c r="S18" s="255"/>
      <c r="T18" s="255"/>
      <c r="U18" s="255"/>
      <c r="V18" s="255"/>
      <c r="W18" s="255"/>
      <c r="X18" s="255"/>
    </row>
    <row r="19" spans="1:24" ht="42.75" customHeight="1" x14ac:dyDescent="0.25">
      <c r="A19" s="1696" t="s">
        <v>2409</v>
      </c>
      <c r="B19" s="1697" t="s">
        <v>2426</v>
      </c>
      <c r="C19" s="1703"/>
      <c r="D19" s="441"/>
      <c r="E19" s="1698">
        <v>4680000</v>
      </c>
      <c r="F19" s="1699"/>
      <c r="G19" s="1699"/>
      <c r="H19" s="1700"/>
      <c r="I19" s="1698"/>
      <c r="J19" s="1701"/>
      <c r="K19" s="1698"/>
      <c r="L19" s="1699"/>
      <c r="M19" s="1699"/>
      <c r="N19" s="246"/>
      <c r="O19" s="246"/>
      <c r="P19" s="255"/>
      <c r="Q19" s="255"/>
      <c r="R19" s="255"/>
      <c r="S19" s="255"/>
      <c r="T19" s="255"/>
      <c r="U19" s="255"/>
      <c r="V19" s="255"/>
      <c r="W19" s="255"/>
      <c r="X19" s="255"/>
    </row>
    <row r="20" spans="1:24" ht="42.75" customHeight="1" x14ac:dyDescent="0.25">
      <c r="A20" s="1696" t="s">
        <v>2424</v>
      </c>
      <c r="B20" s="1697" t="s">
        <v>2427</v>
      </c>
      <c r="C20" s="1703" t="s">
        <v>559</v>
      </c>
      <c r="D20" s="441"/>
      <c r="E20" s="1698">
        <v>1410000</v>
      </c>
      <c r="F20" s="1699"/>
      <c r="G20" s="1699"/>
      <c r="H20" s="1700"/>
      <c r="I20" s="1698">
        <v>30000000</v>
      </c>
      <c r="J20" s="1701">
        <v>30000000</v>
      </c>
      <c r="K20" s="1698"/>
      <c r="L20" s="1699"/>
      <c r="M20" s="1699"/>
      <c r="N20" s="246"/>
      <c r="O20" s="246"/>
      <c r="P20" s="255"/>
      <c r="Q20" s="255"/>
      <c r="R20" s="255"/>
      <c r="S20" s="255"/>
      <c r="T20" s="255"/>
      <c r="U20" s="255"/>
      <c r="V20" s="255"/>
      <c r="W20" s="255"/>
      <c r="X20" s="255"/>
    </row>
    <row r="21" spans="1:24" ht="42.75" customHeight="1" x14ac:dyDescent="0.25">
      <c r="A21" s="1696" t="s">
        <v>2418</v>
      </c>
      <c r="B21" s="1697" t="s">
        <v>2428</v>
      </c>
      <c r="C21" s="1703" t="s">
        <v>560</v>
      </c>
      <c r="D21" s="441"/>
      <c r="E21" s="1698">
        <v>5850000</v>
      </c>
      <c r="F21" s="1699"/>
      <c r="G21" s="1699"/>
      <c r="H21" s="1700"/>
      <c r="I21" s="1698">
        <v>5000000</v>
      </c>
      <c r="J21" s="1701">
        <v>5000000</v>
      </c>
      <c r="K21" s="1698">
        <f>23036307.7640329+4644000+1934000-1934000</f>
        <v>27680307.7640329</v>
      </c>
      <c r="L21" s="1699">
        <v>19197938.441572394</v>
      </c>
      <c r="M21" s="1699">
        <v>22000000</v>
      </c>
      <c r="N21" s="246"/>
      <c r="O21" s="246"/>
      <c r="P21" s="255"/>
      <c r="Q21" s="255"/>
      <c r="R21" s="255"/>
      <c r="S21" s="255"/>
      <c r="T21" s="255"/>
      <c r="U21" s="255"/>
      <c r="V21" s="255"/>
      <c r="W21" s="255"/>
      <c r="X21" s="255"/>
    </row>
    <row r="22" spans="1:24" ht="42.75" customHeight="1" x14ac:dyDescent="0.25">
      <c r="A22" s="1696" t="s">
        <v>2413</v>
      </c>
      <c r="B22" s="1697" t="s">
        <v>2429</v>
      </c>
      <c r="C22" s="1703" t="s">
        <v>938</v>
      </c>
      <c r="D22" s="441"/>
      <c r="E22" s="1698">
        <v>8899000</v>
      </c>
      <c r="F22" s="1699"/>
      <c r="G22" s="1699"/>
      <c r="H22" s="1700"/>
      <c r="I22" s="1698">
        <v>19000000</v>
      </c>
      <c r="J22" s="1701">
        <v>19000000</v>
      </c>
      <c r="K22" s="1698">
        <v>22724783.272507843</v>
      </c>
      <c r="L22" s="1699">
        <v>18938320.968468562</v>
      </c>
      <c r="M22" s="1699">
        <v>20390000</v>
      </c>
      <c r="N22" s="246"/>
      <c r="O22" s="246"/>
      <c r="P22" s="202"/>
      <c r="Q22" s="202"/>
      <c r="R22" s="202"/>
      <c r="S22" s="202"/>
      <c r="T22" s="202"/>
      <c r="U22" s="202"/>
      <c r="V22" s="202"/>
      <c r="W22" s="202"/>
      <c r="X22" s="202"/>
    </row>
    <row r="23" spans="1:24" ht="42.75" customHeight="1" x14ac:dyDescent="0.25">
      <c r="A23" s="1696" t="s">
        <v>2424</v>
      </c>
      <c r="B23" s="1697" t="s">
        <v>2430</v>
      </c>
      <c r="C23" s="1703" t="s">
        <v>939</v>
      </c>
      <c r="D23" s="441"/>
      <c r="E23" s="1698">
        <v>1880000</v>
      </c>
      <c r="F23" s="1699"/>
      <c r="G23" s="1699"/>
      <c r="H23" s="1700"/>
      <c r="I23" s="1698"/>
      <c r="J23" s="1701"/>
      <c r="K23" s="1698">
        <v>2320960.615666938</v>
      </c>
      <c r="L23" s="1699">
        <v>1934236.1406742744</v>
      </c>
      <c r="M23" s="1699"/>
      <c r="N23" s="246"/>
      <c r="O23" s="246"/>
      <c r="P23" s="255"/>
      <c r="Q23" s="255"/>
      <c r="R23" s="255"/>
      <c r="S23" s="255"/>
      <c r="T23" s="255"/>
      <c r="U23" s="255"/>
      <c r="V23" s="255"/>
      <c r="W23" s="255"/>
      <c r="X23" s="255"/>
    </row>
    <row r="24" spans="1:24" ht="42.75" customHeight="1" x14ac:dyDescent="0.25">
      <c r="A24" s="1696"/>
      <c r="B24" s="1697"/>
      <c r="C24" s="1703" t="s">
        <v>940</v>
      </c>
      <c r="D24" s="441"/>
      <c r="E24" s="1698"/>
      <c r="F24" s="1699">
        <v>85956930.600521445</v>
      </c>
      <c r="G24" s="1699"/>
      <c r="H24" s="1700"/>
      <c r="I24" s="1698"/>
      <c r="J24" s="1701"/>
      <c r="K24" s="1698"/>
      <c r="L24" s="1699"/>
      <c r="M24" s="1699"/>
      <c r="N24" s="246"/>
      <c r="O24" s="246"/>
      <c r="P24" s="246"/>
      <c r="Q24" s="246"/>
    </row>
    <row r="25" spans="1:24" ht="42.75" customHeight="1" x14ac:dyDescent="0.25">
      <c r="A25" s="1696"/>
      <c r="B25" s="1697"/>
      <c r="C25" s="1703" t="s">
        <v>941</v>
      </c>
      <c r="D25" s="441"/>
      <c r="E25" s="1698"/>
      <c r="F25" s="1699"/>
      <c r="G25" s="1699"/>
      <c r="H25" s="1700"/>
      <c r="I25" s="1698"/>
      <c r="J25" s="1701"/>
      <c r="K25" s="1702"/>
      <c r="L25" s="1698"/>
      <c r="M25" s="1699"/>
      <c r="N25" s="246"/>
      <c r="O25" s="246"/>
      <c r="P25" s="246"/>
      <c r="Q25" s="246"/>
    </row>
    <row r="26" spans="1:24" ht="42.75" customHeight="1" x14ac:dyDescent="0.25">
      <c r="A26" s="1696"/>
      <c r="B26" s="1697"/>
      <c r="C26" s="1703" t="s">
        <v>942</v>
      </c>
      <c r="D26" s="441"/>
      <c r="E26" s="1698"/>
      <c r="F26" s="1699"/>
      <c r="G26" s="1699"/>
      <c r="H26" s="1700"/>
      <c r="I26" s="1698"/>
      <c r="J26" s="1701"/>
      <c r="K26" s="1702"/>
      <c r="L26" s="1698"/>
      <c r="M26" s="1699"/>
    </row>
    <row r="27" spans="1:24" ht="42.75" customHeight="1" x14ac:dyDescent="0.25">
      <c r="A27" s="1696"/>
      <c r="B27" s="1697"/>
      <c r="C27" s="1703" t="s">
        <v>943</v>
      </c>
      <c r="D27" s="441"/>
      <c r="E27" s="1698"/>
      <c r="F27" s="1699">
        <v>12069504.84766916</v>
      </c>
      <c r="G27" s="1699"/>
      <c r="H27" s="1700"/>
      <c r="I27" s="1698"/>
      <c r="J27" s="1701"/>
      <c r="K27" s="1702"/>
      <c r="L27" s="1698"/>
      <c r="M27" s="1699"/>
    </row>
    <row r="28" spans="1:24" ht="42.75" customHeight="1" x14ac:dyDescent="0.25">
      <c r="A28" s="1696"/>
      <c r="B28" s="1697"/>
      <c r="C28" s="1703" t="s">
        <v>944</v>
      </c>
      <c r="D28" s="441"/>
      <c r="E28" s="1698"/>
      <c r="F28" s="1699">
        <v>11906286.575056044</v>
      </c>
      <c r="G28" s="1699"/>
      <c r="H28" s="1700"/>
      <c r="I28" s="1698"/>
      <c r="J28" s="1701"/>
      <c r="K28" s="1702"/>
      <c r="L28" s="1698"/>
      <c r="M28" s="1699"/>
    </row>
    <row r="29" spans="1:24" ht="12.75" customHeight="1" x14ac:dyDescent="0.25">
      <c r="A29" s="1696"/>
      <c r="B29" s="2329"/>
      <c r="C29" s="2334"/>
      <c r="D29" s="441">
        <v>3</v>
      </c>
      <c r="E29" s="1698"/>
      <c r="F29" s="1699">
        <v>1216030.176753341</v>
      </c>
      <c r="G29" s="2324"/>
      <c r="H29" s="2325"/>
      <c r="I29" s="2323"/>
      <c r="J29" s="2326"/>
      <c r="K29" s="2327"/>
      <c r="L29" s="2323"/>
      <c r="M29" s="2324"/>
    </row>
    <row r="30" spans="1:24" x14ac:dyDescent="0.25">
      <c r="A30" s="2333" t="s">
        <v>2068</v>
      </c>
      <c r="B30" s="2331"/>
      <c r="C30" s="2332"/>
      <c r="D30" s="347">
        <v>1</v>
      </c>
      <c r="E30" s="1698"/>
      <c r="F30" s="1699"/>
      <c r="G30" s="228">
        <f t="shared" ref="G30:M30" si="0">SUM(G4:G29)</f>
        <v>0</v>
      </c>
      <c r="H30" s="229">
        <f t="shared" si="0"/>
        <v>230014000</v>
      </c>
      <c r="I30" s="230">
        <f t="shared" si="0"/>
        <v>309756000</v>
      </c>
      <c r="J30" s="231">
        <f t="shared" si="0"/>
        <v>309756000</v>
      </c>
      <c r="K30" s="232">
        <f t="shared" si="0"/>
        <v>475658051.65220767</v>
      </c>
      <c r="L30" s="230">
        <f t="shared" si="0"/>
        <v>254271495.55071524</v>
      </c>
      <c r="M30" s="228">
        <f t="shared" si="0"/>
        <v>242390000</v>
      </c>
    </row>
    <row r="31" spans="1:24" s="709" customFormat="1" x14ac:dyDescent="0.25">
      <c r="A31" s="346" t="s">
        <v>600</v>
      </c>
      <c r="B31" s="1041"/>
      <c r="C31" s="1041"/>
      <c r="D31" s="1038"/>
      <c r="E31" s="2323"/>
      <c r="F31" s="2324"/>
      <c r="G31" s="1042"/>
      <c r="H31" s="1042"/>
      <c r="I31" s="1042"/>
      <c r="J31" s="1042"/>
      <c r="K31" s="1042"/>
      <c r="L31" s="1042"/>
      <c r="M31" s="1042"/>
    </row>
    <row r="32" spans="1:24" s="709" customFormat="1" x14ac:dyDescent="0.25">
      <c r="A32" s="1232" t="str">
        <f>head27a</f>
        <v>References</v>
      </c>
      <c r="B32" s="1041"/>
      <c r="C32" s="1041"/>
      <c r="D32" s="1038"/>
      <c r="E32" s="1042"/>
      <c r="F32" s="1042"/>
      <c r="G32" s="1042"/>
      <c r="H32" s="1042"/>
      <c r="I32" s="1042"/>
      <c r="J32" s="1042"/>
      <c r="K32" s="1042"/>
      <c r="L32" s="1042"/>
      <c r="M32" s="1042"/>
    </row>
    <row r="33" spans="1:13" s="709" customFormat="1" x14ac:dyDescent="0.25">
      <c r="A33" s="1194" t="s">
        <v>1349</v>
      </c>
      <c r="B33" s="1061"/>
      <c r="C33" s="1061"/>
      <c r="D33" s="1038"/>
      <c r="E33" s="1041"/>
      <c r="F33" s="1041"/>
      <c r="G33" s="1042"/>
      <c r="H33" s="1042"/>
      <c r="I33" s="1042"/>
      <c r="J33" s="1042"/>
      <c r="K33" s="1042"/>
      <c r="L33" s="1042"/>
      <c r="M33" s="1042"/>
    </row>
    <row r="34" spans="1:13" x14ac:dyDescent="0.25">
      <c r="A34" s="1194" t="s">
        <v>2067</v>
      </c>
    </row>
    <row r="35" spans="1:13" x14ac:dyDescent="0.25">
      <c r="A35" s="149" t="s">
        <v>2070</v>
      </c>
      <c r="B35" s="388"/>
      <c r="C35" s="388"/>
      <c r="E35" s="448">
        <f>E30-'A5-Capex'!C40</f>
        <v>-176033492</v>
      </c>
      <c r="F35" s="448">
        <f>F30-'A5-Capex'!D40</f>
        <v>-111148753.28</v>
      </c>
      <c r="G35" s="448">
        <f>G30-'A5-Capex'!E40</f>
        <v>-223563286.09999996</v>
      </c>
      <c r="H35" s="448">
        <f>H30-'A5-Capex'!F40</f>
        <v>0</v>
      </c>
      <c r="I35" s="448">
        <f>I30-'A5-Capex'!G40</f>
        <v>250</v>
      </c>
      <c r="J35" s="448">
        <f>J30-'A5-Capex'!H40</f>
        <v>250</v>
      </c>
      <c r="K35" s="448">
        <f>K30-'A5-Capex'!J40</f>
        <v>-456.34779232740402</v>
      </c>
      <c r="L35" s="448">
        <f>L30-'A5-Capex'!K40</f>
        <v>495.55071523785591</v>
      </c>
      <c r="M35" s="448">
        <f>M30-'A5-Capex'!L40</f>
        <v>0</v>
      </c>
    </row>
    <row r="36" spans="1:13" x14ac:dyDescent="0.25">
      <c r="A36" s="388" t="s">
        <v>423</v>
      </c>
      <c r="E36" s="449"/>
    </row>
    <row r="37" spans="1:13" x14ac:dyDescent="0.25">
      <c r="E37" s="449"/>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39"/>
  <pageSetup paperSize="9" scale="63"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enableFormatConditionsCalculation="0">
    <tabColor indexed="42"/>
    <pageSetUpPr fitToPage="1"/>
  </sheetPr>
  <dimension ref="A1:K94"/>
  <sheetViews>
    <sheetView showGridLines="0" zoomScaleNormal="100" workbookViewId="0">
      <pane xSplit="2" ySplit="3" topLeftCell="C31" activePane="bottomRight" state="frozen"/>
      <selection pane="topRight"/>
      <selection pane="bottomLeft"/>
      <selection pane="bottomRight" activeCell="I25" sqref="I25"/>
    </sheetView>
  </sheetViews>
  <sheetFormatPr defaultColWidth="9.1796875" defaultRowHeight="11.25" customHeight="1" x14ac:dyDescent="0.25"/>
  <cols>
    <col min="1" max="1" width="29.26953125" style="149" customWidth="1"/>
    <col min="2" max="2" width="34.7265625" style="149" customWidth="1"/>
    <col min="3" max="11" width="9.26953125" style="149" customWidth="1"/>
    <col min="12" max="16384" width="9.1796875" style="149"/>
  </cols>
  <sheetData>
    <row r="1" spans="1:11" s="179" customFormat="1" ht="13" x14ac:dyDescent="0.3">
      <c r="A1" s="147" t="str">
        <f>muni&amp;" - "&amp;TableA7</f>
        <v>KZN225 Msunduzi - Supporting Table SA7 Measureable performance objectives</v>
      </c>
      <c r="B1" s="147"/>
      <c r="C1" s="147"/>
      <c r="D1" s="147"/>
      <c r="E1" s="147"/>
      <c r="F1" s="147"/>
      <c r="G1" s="147"/>
      <c r="H1" s="147"/>
      <c r="I1" s="147"/>
      <c r="J1" s="147"/>
      <c r="K1" s="147"/>
    </row>
    <row r="2" spans="1:11" ht="28.5" customHeight="1" x14ac:dyDescent="0.25">
      <c r="A2" s="2712" t="s">
        <v>773</v>
      </c>
      <c r="B2" s="2710" t="s">
        <v>419</v>
      </c>
      <c r="C2" s="145" t="str">
        <f>head1b</f>
        <v>2009/10</v>
      </c>
      <c r="D2" s="150" t="str">
        <f>head1A</f>
        <v>2010/11</v>
      </c>
      <c r="E2" s="146" t="str">
        <f>Head1</f>
        <v>2011/12</v>
      </c>
      <c r="F2" s="2677" t="str">
        <f>Head2</f>
        <v>Current Year 2012/13</v>
      </c>
      <c r="G2" s="2678"/>
      <c r="H2" s="2682"/>
      <c r="I2" s="2674" t="str">
        <f>Head3</f>
        <v>2013/14 Medium Term Revenue &amp; Expenditure Framework</v>
      </c>
      <c r="J2" s="2675"/>
      <c r="K2" s="2676"/>
    </row>
    <row r="3" spans="1:11" ht="21" x14ac:dyDescent="0.25">
      <c r="A3" s="2713"/>
      <c r="B3" s="2711"/>
      <c r="C3" s="389" t="str">
        <f>Head5</f>
        <v>Audited Outcome</v>
      </c>
      <c r="D3" s="390" t="str">
        <f>Head5</f>
        <v>Audited Outcome</v>
      </c>
      <c r="E3" s="391" t="str">
        <f>Head5</f>
        <v>Audited Outcome</v>
      </c>
      <c r="F3" s="299" t="str">
        <f>Head6</f>
        <v>Original Budget</v>
      </c>
      <c r="G3" s="390" t="str">
        <f>Head7</f>
        <v>Adjusted Budget</v>
      </c>
      <c r="H3" s="391" t="str">
        <f>Head8</f>
        <v>Full Year Forecast</v>
      </c>
      <c r="I3" s="299" t="str">
        <f>Head9</f>
        <v>Budget Year 2013/14</v>
      </c>
      <c r="J3" s="390" t="str">
        <f>Head10</f>
        <v>Budget Year +1 2014/15</v>
      </c>
      <c r="K3" s="391" t="str">
        <f>Head11</f>
        <v>Budget Year +2 2015/16</v>
      </c>
    </row>
    <row r="4" spans="1:11" ht="11.25" customHeight="1" x14ac:dyDescent="0.25">
      <c r="A4" s="1524" t="s">
        <v>2566</v>
      </c>
      <c r="B4" s="1704"/>
      <c r="C4" s="1705"/>
      <c r="D4" s="1706"/>
      <c r="E4" s="1706"/>
      <c r="F4" s="1706"/>
      <c r="G4" s="1706"/>
      <c r="H4" s="1707"/>
      <c r="I4" s="1707"/>
      <c r="J4" s="1706"/>
      <c r="K4" s="1706"/>
    </row>
    <row r="5" spans="1:11" ht="11.25" customHeight="1" x14ac:dyDescent="0.25">
      <c r="A5" s="1527" t="s">
        <v>2567</v>
      </c>
      <c r="B5" s="1708"/>
      <c r="C5" s="1705"/>
      <c r="D5" s="1706"/>
      <c r="E5" s="1706"/>
      <c r="F5" s="1706"/>
      <c r="G5" s="1706"/>
      <c r="H5" s="1706"/>
      <c r="I5" s="1706"/>
      <c r="J5" s="1706"/>
      <c r="K5" s="1706"/>
    </row>
    <row r="6" spans="1:11" ht="11.25" customHeight="1" x14ac:dyDescent="0.25">
      <c r="A6" s="1528" t="s">
        <v>2568</v>
      </c>
      <c r="B6" s="1709"/>
      <c r="C6" s="1705"/>
      <c r="D6" s="1706"/>
      <c r="E6" s="1706"/>
      <c r="F6" s="1706"/>
      <c r="G6" s="2634"/>
      <c r="H6" s="1706"/>
      <c r="I6" s="1706"/>
      <c r="J6" s="1706"/>
      <c r="K6" s="1706"/>
    </row>
    <row r="7" spans="1:11" ht="11.25" customHeight="1" x14ac:dyDescent="0.25">
      <c r="A7" s="1710" t="s">
        <v>2569</v>
      </c>
      <c r="B7" s="1709" t="s">
        <v>2625</v>
      </c>
      <c r="C7" s="1705" t="s">
        <v>2626</v>
      </c>
      <c r="D7" s="1706" t="s">
        <v>2626</v>
      </c>
      <c r="E7" s="1706" t="s">
        <v>2627</v>
      </c>
      <c r="F7" s="1706" t="s">
        <v>2720</v>
      </c>
      <c r="G7" s="1706" t="s">
        <v>2720</v>
      </c>
      <c r="H7" s="1706" t="s">
        <v>2720</v>
      </c>
      <c r="I7" s="1706"/>
      <c r="J7" s="1706"/>
      <c r="K7" s="1706"/>
    </row>
    <row r="8" spans="1:11" ht="11.25" customHeight="1" x14ac:dyDescent="0.25">
      <c r="A8" s="1528" t="s">
        <v>2570</v>
      </c>
      <c r="B8" s="1712"/>
      <c r="C8" s="1713"/>
      <c r="D8" s="1714"/>
      <c r="E8" s="1714"/>
      <c r="F8" s="1714"/>
      <c r="G8" s="1714"/>
      <c r="H8" s="1714"/>
      <c r="I8" s="1714"/>
      <c r="J8" s="1714"/>
      <c r="K8" s="1714"/>
    </row>
    <row r="9" spans="1:11" ht="11.25" customHeight="1" x14ac:dyDescent="0.25">
      <c r="A9" s="1710" t="s">
        <v>2571</v>
      </c>
      <c r="B9" s="1709" t="s">
        <v>2628</v>
      </c>
      <c r="C9" s="1705" t="s">
        <v>2626</v>
      </c>
      <c r="D9" s="1705" t="s">
        <v>2626</v>
      </c>
      <c r="E9" s="1706" t="s">
        <v>2629</v>
      </c>
      <c r="F9" s="1706" t="s">
        <v>2721</v>
      </c>
      <c r="G9" s="1706" t="s">
        <v>2721</v>
      </c>
      <c r="H9" s="1706" t="s">
        <v>2721</v>
      </c>
      <c r="I9" s="1706"/>
      <c r="J9" s="1706"/>
      <c r="K9" s="1706"/>
    </row>
    <row r="10" spans="1:11" ht="11.25" customHeight="1" x14ac:dyDescent="0.25">
      <c r="A10" s="1528" t="s">
        <v>2572</v>
      </c>
      <c r="B10" s="1712"/>
      <c r="C10" s="1713"/>
      <c r="D10" s="1714"/>
      <c r="E10" s="1714"/>
      <c r="F10" s="1714"/>
      <c r="G10" s="1714"/>
      <c r="H10" s="1714"/>
      <c r="I10" s="1714"/>
      <c r="J10" s="1714"/>
      <c r="K10" s="1714"/>
    </row>
    <row r="11" spans="1:11" ht="11.25" customHeight="1" x14ac:dyDescent="0.25">
      <c r="A11" s="1710" t="s">
        <v>2573</v>
      </c>
      <c r="B11" s="1709" t="s">
        <v>2630</v>
      </c>
      <c r="C11" s="1705" t="s">
        <v>2626</v>
      </c>
      <c r="D11" s="1705" t="s">
        <v>2626</v>
      </c>
      <c r="E11" s="1706" t="s">
        <v>2631</v>
      </c>
      <c r="F11" s="1706" t="s">
        <v>2722</v>
      </c>
      <c r="G11" s="1706" t="s">
        <v>2722</v>
      </c>
      <c r="H11" s="1706" t="s">
        <v>2722</v>
      </c>
      <c r="I11" s="1706"/>
      <c r="J11" s="1706"/>
      <c r="K11" s="1706"/>
    </row>
    <row r="12" spans="1:11" ht="11.25" customHeight="1" x14ac:dyDescent="0.25">
      <c r="A12" s="1528" t="s">
        <v>2574</v>
      </c>
      <c r="B12" s="1709"/>
      <c r="C12" s="1705"/>
      <c r="D12" s="1705"/>
      <c r="E12" s="1706"/>
      <c r="F12" s="1706"/>
      <c r="G12" s="1706"/>
      <c r="H12" s="1706"/>
      <c r="I12" s="1706"/>
      <c r="J12" s="1706"/>
      <c r="K12" s="1706"/>
    </row>
    <row r="13" spans="1:11" ht="22.5" customHeight="1" x14ac:dyDescent="0.25">
      <c r="A13" s="1710" t="s">
        <v>2575</v>
      </c>
      <c r="B13" s="1709" t="s">
        <v>2632</v>
      </c>
      <c r="C13" s="1705" t="s">
        <v>2626</v>
      </c>
      <c r="D13" s="1705" t="s">
        <v>2626</v>
      </c>
      <c r="E13" s="1706" t="s">
        <v>2633</v>
      </c>
      <c r="F13" s="1706" t="s">
        <v>2723</v>
      </c>
      <c r="G13" s="1706" t="s">
        <v>2723</v>
      </c>
      <c r="H13" s="1706" t="s">
        <v>2723</v>
      </c>
      <c r="I13" s="1706"/>
      <c r="J13" s="1706"/>
      <c r="K13" s="1706"/>
    </row>
    <row r="14" spans="1:11" ht="11.25" customHeight="1" x14ac:dyDescent="0.25">
      <c r="A14" s="1710"/>
      <c r="B14" s="1709"/>
      <c r="C14" s="1705"/>
      <c r="D14" s="1705"/>
      <c r="E14" s="1706"/>
      <c r="F14" s="1706"/>
      <c r="G14" s="1706"/>
      <c r="H14" s="1706"/>
      <c r="I14" s="1706"/>
      <c r="J14" s="1706"/>
      <c r="K14" s="1706"/>
    </row>
    <row r="15" spans="1:11" ht="11.25" customHeight="1" x14ac:dyDescent="0.25">
      <c r="A15" s="1527" t="s">
        <v>2576</v>
      </c>
      <c r="B15" s="1712"/>
      <c r="C15" s="1713"/>
      <c r="D15" s="1714"/>
      <c r="E15" s="1714"/>
      <c r="F15" s="1714"/>
      <c r="G15" s="1714"/>
      <c r="H15" s="1714"/>
      <c r="I15" s="1714"/>
      <c r="J15" s="1714"/>
      <c r="K15" s="1714"/>
    </row>
    <row r="16" spans="1:11" ht="11.25" customHeight="1" x14ac:dyDescent="0.25">
      <c r="A16" s="1528" t="s">
        <v>2577</v>
      </c>
      <c r="B16" s="1709"/>
      <c r="C16" s="1705"/>
      <c r="D16" s="1706"/>
      <c r="E16" s="1706"/>
      <c r="F16" s="1706"/>
      <c r="G16" s="1706"/>
      <c r="H16" s="1706"/>
      <c r="I16" s="1706"/>
      <c r="J16" s="1706"/>
      <c r="K16" s="1706"/>
    </row>
    <row r="17" spans="1:11" ht="11.25" customHeight="1" x14ac:dyDescent="0.25">
      <c r="A17" s="2633" t="s">
        <v>2578</v>
      </c>
      <c r="B17" s="1709" t="s">
        <v>2634</v>
      </c>
      <c r="C17" s="2634" t="s">
        <v>2626</v>
      </c>
      <c r="D17" s="2634" t="s">
        <v>2626</v>
      </c>
      <c r="E17" s="2634" t="s">
        <v>2635</v>
      </c>
      <c r="F17" s="2634" t="s">
        <v>2724</v>
      </c>
      <c r="G17" s="2634" t="s">
        <v>2724</v>
      </c>
      <c r="H17" s="2634" t="s">
        <v>2724</v>
      </c>
      <c r="I17" s="1706"/>
      <c r="J17" s="1706"/>
      <c r="K17" s="1706"/>
    </row>
    <row r="18" spans="1:11" ht="11.25" customHeight="1" x14ac:dyDescent="0.25">
      <c r="A18" s="1528" t="s">
        <v>2579</v>
      </c>
      <c r="B18" s="1715"/>
      <c r="C18" s="1713"/>
      <c r="D18" s="1714"/>
      <c r="E18" s="1714"/>
      <c r="F18" s="2634"/>
      <c r="G18" s="1714"/>
      <c r="H18" s="1714"/>
      <c r="I18" s="1714"/>
      <c r="J18" s="1714"/>
      <c r="K18" s="1714"/>
    </row>
    <row r="19" spans="1:11" ht="11.25" customHeight="1" x14ac:dyDescent="0.25">
      <c r="A19" s="2633" t="s">
        <v>2580</v>
      </c>
      <c r="B19" s="1709" t="s">
        <v>2636</v>
      </c>
      <c r="C19" s="2634" t="s">
        <v>2626</v>
      </c>
      <c r="D19" s="2634" t="s">
        <v>2626</v>
      </c>
      <c r="E19" s="2634" t="s">
        <v>2637</v>
      </c>
      <c r="F19" s="2634" t="s">
        <v>2725</v>
      </c>
      <c r="G19" s="2634" t="s">
        <v>2725</v>
      </c>
      <c r="H19" s="2634" t="s">
        <v>2725</v>
      </c>
      <c r="I19" s="1706"/>
      <c r="J19" s="1706"/>
      <c r="K19" s="1706"/>
    </row>
    <row r="20" spans="1:11" ht="11.25" customHeight="1" x14ac:dyDescent="0.25">
      <c r="A20" s="1528" t="s">
        <v>2581</v>
      </c>
      <c r="B20" s="1712"/>
      <c r="C20" s="1713"/>
      <c r="D20" s="1714"/>
      <c r="E20" s="1714"/>
      <c r="F20" s="1714"/>
      <c r="G20" s="1714"/>
      <c r="H20" s="1714"/>
      <c r="I20" s="1714"/>
      <c r="J20" s="1714"/>
      <c r="K20" s="1714"/>
    </row>
    <row r="21" spans="1:11" ht="11.25" customHeight="1" x14ac:dyDescent="0.25">
      <c r="A21" s="2633" t="s">
        <v>2582</v>
      </c>
      <c r="B21" s="1709" t="s">
        <v>2632</v>
      </c>
      <c r="C21" s="1705" t="s">
        <v>2626</v>
      </c>
      <c r="D21" s="1705" t="s">
        <v>2626</v>
      </c>
      <c r="E21" s="1706" t="s">
        <v>2638</v>
      </c>
      <c r="F21" s="2634" t="s">
        <v>2626</v>
      </c>
      <c r="G21" s="2634" t="s">
        <v>2626</v>
      </c>
      <c r="H21" s="2634" t="s">
        <v>2626</v>
      </c>
      <c r="I21" s="1706"/>
      <c r="J21" s="1706"/>
      <c r="K21" s="1706"/>
    </row>
    <row r="22" spans="1:11" ht="11.25" customHeight="1" x14ac:dyDescent="0.25">
      <c r="A22" s="1528" t="s">
        <v>2583</v>
      </c>
      <c r="B22" s="1709"/>
      <c r="C22" s="1705"/>
      <c r="D22" s="1706"/>
      <c r="E22" s="1706"/>
      <c r="F22" s="1706"/>
      <c r="G22" s="1706"/>
      <c r="H22" s="1706"/>
      <c r="I22" s="1706"/>
      <c r="J22" s="1706"/>
      <c r="K22" s="1706"/>
    </row>
    <row r="23" spans="1:11" ht="11.25" customHeight="1" x14ac:dyDescent="0.25">
      <c r="A23" s="2633" t="s">
        <v>2584</v>
      </c>
      <c r="B23" s="1709" t="s">
        <v>2639</v>
      </c>
      <c r="C23" s="1705" t="s">
        <v>2626</v>
      </c>
      <c r="D23" s="1705" t="s">
        <v>2626</v>
      </c>
      <c r="E23" s="1706" t="s">
        <v>2640</v>
      </c>
      <c r="F23" s="2634" t="s">
        <v>2626</v>
      </c>
      <c r="G23" s="2634" t="s">
        <v>2626</v>
      </c>
      <c r="H23" s="2634" t="s">
        <v>2626</v>
      </c>
      <c r="I23" s="1706"/>
      <c r="J23" s="1706"/>
      <c r="K23" s="1706"/>
    </row>
    <row r="24" spans="1:11" ht="11.25" customHeight="1" x14ac:dyDescent="0.25">
      <c r="A24" s="2633"/>
      <c r="B24" s="1709"/>
      <c r="C24" s="1705"/>
      <c r="D24" s="1705"/>
      <c r="E24" s="1706"/>
      <c r="F24" s="1705"/>
      <c r="G24" s="1706"/>
      <c r="H24" s="1706"/>
      <c r="I24" s="1706"/>
      <c r="J24" s="1706"/>
      <c r="K24" s="1706"/>
    </row>
    <row r="25" spans="1:11" ht="11.25" customHeight="1" x14ac:dyDescent="0.25">
      <c r="A25" s="1527" t="s">
        <v>2585</v>
      </c>
      <c r="B25" s="1709"/>
      <c r="C25" s="1705"/>
      <c r="D25" s="1705"/>
      <c r="E25" s="1706"/>
      <c r="F25" s="1705"/>
      <c r="G25" s="1706"/>
      <c r="H25" s="1706"/>
      <c r="I25" s="1706"/>
      <c r="J25" s="1706"/>
      <c r="K25" s="1706"/>
    </row>
    <row r="26" spans="1:11" ht="11.25" customHeight="1" x14ac:dyDescent="0.25">
      <c r="A26" s="1528" t="s">
        <v>2586</v>
      </c>
      <c r="B26" s="1709"/>
      <c r="C26" s="1705"/>
      <c r="D26" s="1705"/>
      <c r="E26" s="1706"/>
      <c r="F26" s="1705"/>
      <c r="G26" s="1706"/>
      <c r="H26" s="1706"/>
      <c r="I26" s="1706"/>
      <c r="J26" s="1706"/>
      <c r="K26" s="1706"/>
    </row>
    <row r="27" spans="1:11" ht="11.25" customHeight="1" x14ac:dyDescent="0.25">
      <c r="A27" s="2633" t="s">
        <v>2587</v>
      </c>
      <c r="B27" s="2635" t="s">
        <v>2641</v>
      </c>
      <c r="C27" s="2634" t="s">
        <v>2626</v>
      </c>
      <c r="D27" s="2634" t="s">
        <v>2626</v>
      </c>
      <c r="E27" s="2634" t="s">
        <v>2642</v>
      </c>
      <c r="F27" s="2634" t="s">
        <v>2726</v>
      </c>
      <c r="G27" s="2634" t="s">
        <v>2726</v>
      </c>
      <c r="H27" s="2634" t="s">
        <v>2726</v>
      </c>
      <c r="I27" s="1706"/>
      <c r="J27" s="1706"/>
      <c r="K27" s="1706"/>
    </row>
    <row r="28" spans="1:11" ht="11.25" customHeight="1" x14ac:dyDescent="0.25">
      <c r="A28" s="1528" t="s">
        <v>2586</v>
      </c>
      <c r="B28" s="1709"/>
      <c r="C28" s="1705"/>
      <c r="D28" s="1705"/>
      <c r="E28" s="1706"/>
      <c r="F28" s="1705"/>
      <c r="G28" s="1706"/>
      <c r="H28" s="1706"/>
      <c r="I28" s="1706"/>
      <c r="J28" s="1706"/>
      <c r="K28" s="1706"/>
    </row>
    <row r="29" spans="1:11" ht="11.25" customHeight="1" x14ac:dyDescent="0.25">
      <c r="A29" s="2633" t="s">
        <v>2588</v>
      </c>
      <c r="B29" s="2635" t="s">
        <v>2643</v>
      </c>
      <c r="C29" s="2634" t="s">
        <v>2626</v>
      </c>
      <c r="D29" s="2634" t="s">
        <v>2626</v>
      </c>
      <c r="E29" s="2634" t="s">
        <v>2644</v>
      </c>
      <c r="F29" s="2634" t="s">
        <v>2727</v>
      </c>
      <c r="G29" s="2634" t="s">
        <v>2727</v>
      </c>
      <c r="H29" s="2634" t="s">
        <v>2727</v>
      </c>
      <c r="I29" s="1706"/>
      <c r="J29" s="1706"/>
      <c r="K29" s="1706"/>
    </row>
    <row r="30" spans="1:11" ht="11.25" customHeight="1" x14ac:dyDescent="0.25">
      <c r="A30" s="1528" t="s">
        <v>2586</v>
      </c>
      <c r="B30" s="1709"/>
      <c r="C30" s="1705"/>
      <c r="D30" s="1705"/>
      <c r="E30" s="1706"/>
      <c r="F30" s="1705"/>
      <c r="G30" s="1706"/>
      <c r="H30" s="1706"/>
      <c r="I30" s="1706"/>
      <c r="J30" s="1706"/>
      <c r="K30" s="1706"/>
    </row>
    <row r="31" spans="1:11" ht="11.25" customHeight="1" x14ac:dyDescent="0.25">
      <c r="A31" s="2633" t="s">
        <v>2589</v>
      </c>
      <c r="B31" s="1709" t="s">
        <v>2645</v>
      </c>
      <c r="C31" s="2634" t="s">
        <v>2626</v>
      </c>
      <c r="D31" s="2634" t="s">
        <v>2626</v>
      </c>
      <c r="E31" s="2636" t="s">
        <v>2646</v>
      </c>
      <c r="F31" s="2634" t="s">
        <v>2728</v>
      </c>
      <c r="G31" s="2634" t="s">
        <v>2728</v>
      </c>
      <c r="H31" s="2634" t="s">
        <v>2728</v>
      </c>
      <c r="I31" s="1706"/>
      <c r="J31" s="1706"/>
      <c r="K31" s="1706"/>
    </row>
    <row r="32" spans="1:11" ht="11.25" customHeight="1" x14ac:dyDescent="0.25">
      <c r="A32" s="2633"/>
      <c r="B32" s="1709"/>
      <c r="C32" s="2634"/>
      <c r="D32" s="2634"/>
      <c r="E32" s="2636"/>
      <c r="F32" s="1705"/>
      <c r="G32" s="1706"/>
      <c r="H32" s="1706"/>
      <c r="I32" s="1706"/>
      <c r="J32" s="1706"/>
      <c r="K32" s="1706"/>
    </row>
    <row r="33" spans="1:11" ht="11.25" customHeight="1" x14ac:dyDescent="0.25">
      <c r="A33" s="1527" t="s">
        <v>2590</v>
      </c>
      <c r="B33" s="1709"/>
      <c r="C33" s="2634"/>
      <c r="D33" s="2634"/>
      <c r="E33" s="2636"/>
      <c r="F33" s="1705"/>
      <c r="G33" s="1706"/>
      <c r="H33" s="1706"/>
      <c r="I33" s="1706"/>
      <c r="J33" s="1706"/>
      <c r="K33" s="1706"/>
    </row>
    <row r="34" spans="1:11" ht="11.25" customHeight="1" x14ac:dyDescent="0.25">
      <c r="A34" s="1528" t="s">
        <v>2586</v>
      </c>
      <c r="B34" s="1709"/>
      <c r="C34" s="2634"/>
      <c r="D34" s="2634"/>
      <c r="E34" s="2636"/>
      <c r="F34" s="1705"/>
      <c r="G34" s="1706"/>
      <c r="H34" s="1706"/>
      <c r="I34" s="1706"/>
      <c r="J34" s="1706"/>
      <c r="K34" s="1706"/>
    </row>
    <row r="35" spans="1:11" ht="11.25" customHeight="1" x14ac:dyDescent="0.25">
      <c r="A35" s="2633" t="s">
        <v>2591</v>
      </c>
      <c r="B35" s="1709" t="s">
        <v>2647</v>
      </c>
      <c r="C35" s="2634" t="s">
        <v>2626</v>
      </c>
      <c r="D35" s="2634" t="s">
        <v>2626</v>
      </c>
      <c r="E35" s="2634" t="s">
        <v>2648</v>
      </c>
      <c r="F35" s="2634" t="s">
        <v>2626</v>
      </c>
      <c r="G35" s="2634" t="s">
        <v>2626</v>
      </c>
      <c r="H35" s="2634" t="s">
        <v>2626</v>
      </c>
      <c r="I35" s="1706"/>
      <c r="J35" s="1706"/>
      <c r="K35" s="1706"/>
    </row>
    <row r="36" spans="1:11" ht="11.25" customHeight="1" x14ac:dyDescent="0.25">
      <c r="A36" s="1528" t="s">
        <v>2592</v>
      </c>
      <c r="B36" s="1709"/>
      <c r="C36" s="1705"/>
      <c r="D36" s="2634"/>
      <c r="E36" s="2634"/>
      <c r="F36" s="1705"/>
      <c r="G36" s="1706"/>
      <c r="H36" s="1706"/>
      <c r="I36" s="1706"/>
      <c r="J36" s="1706"/>
      <c r="K36" s="1706"/>
    </row>
    <row r="37" spans="1:11" ht="11.25" customHeight="1" x14ac:dyDescent="0.25">
      <c r="A37" s="2633" t="s">
        <v>2593</v>
      </c>
      <c r="B37" s="1709" t="s">
        <v>2647</v>
      </c>
      <c r="C37" s="2634" t="s">
        <v>2626</v>
      </c>
      <c r="D37" s="2634" t="s">
        <v>2626</v>
      </c>
      <c r="E37" s="2634" t="s">
        <v>2649</v>
      </c>
      <c r="F37" s="2634" t="s">
        <v>2626</v>
      </c>
      <c r="G37" s="2634" t="s">
        <v>2626</v>
      </c>
      <c r="H37" s="2634" t="s">
        <v>2626</v>
      </c>
      <c r="I37" s="1706"/>
      <c r="J37" s="1706"/>
      <c r="K37" s="1706"/>
    </row>
    <row r="38" spans="1:11" ht="11.25" customHeight="1" x14ac:dyDescent="0.25">
      <c r="A38" s="1528" t="s">
        <v>2594</v>
      </c>
      <c r="B38" s="1709"/>
      <c r="C38" s="1705"/>
      <c r="D38" s="2634"/>
      <c r="E38" s="2634"/>
      <c r="F38" s="1705"/>
      <c r="G38" s="1706"/>
      <c r="H38" s="1706"/>
      <c r="I38" s="1706"/>
      <c r="J38" s="1706"/>
      <c r="K38" s="1706"/>
    </row>
    <row r="39" spans="1:11" ht="11.25" customHeight="1" x14ac:dyDescent="0.25">
      <c r="A39" s="2633" t="s">
        <v>2595</v>
      </c>
      <c r="B39" s="1709" t="s">
        <v>2647</v>
      </c>
      <c r="C39" s="2634" t="s">
        <v>2626</v>
      </c>
      <c r="D39" s="2634" t="s">
        <v>2626</v>
      </c>
      <c r="E39" s="2634" t="s">
        <v>2650</v>
      </c>
      <c r="F39" s="2634" t="s">
        <v>2722</v>
      </c>
      <c r="G39" s="2634" t="s">
        <v>2722</v>
      </c>
      <c r="H39" s="2634" t="s">
        <v>2722</v>
      </c>
      <c r="I39" s="1706"/>
      <c r="J39" s="1706"/>
      <c r="K39" s="1706"/>
    </row>
    <row r="40" spans="1:11" ht="11.25" customHeight="1" x14ac:dyDescent="0.25">
      <c r="A40" s="1528" t="s">
        <v>2596</v>
      </c>
      <c r="B40" s="1709"/>
      <c r="C40" s="1705"/>
      <c r="D40" s="2634"/>
      <c r="E40" s="2634"/>
      <c r="F40" s="1705"/>
      <c r="G40" s="1706"/>
      <c r="H40" s="1706"/>
      <c r="I40" s="1706"/>
      <c r="J40" s="1706"/>
      <c r="K40" s="1706"/>
    </row>
    <row r="41" spans="1:11" ht="11.25" customHeight="1" x14ac:dyDescent="0.25">
      <c r="A41" s="2633" t="s">
        <v>2597</v>
      </c>
      <c r="B41" s="1709" t="s">
        <v>2647</v>
      </c>
      <c r="C41" s="2634" t="s">
        <v>2626</v>
      </c>
      <c r="D41" s="2634" t="s">
        <v>2626</v>
      </c>
      <c r="E41" s="2634" t="s">
        <v>2651</v>
      </c>
      <c r="F41" s="2634" t="s">
        <v>2626</v>
      </c>
      <c r="G41" s="2634" t="s">
        <v>2626</v>
      </c>
      <c r="H41" s="2634" t="s">
        <v>2626</v>
      </c>
      <c r="I41" s="1706"/>
      <c r="J41" s="1706"/>
      <c r="K41" s="1706"/>
    </row>
    <row r="42" spans="1:11" ht="11.25" customHeight="1" x14ac:dyDescent="0.25">
      <c r="A42" s="1528" t="s">
        <v>2598</v>
      </c>
      <c r="B42" s="1709"/>
      <c r="C42" s="1705"/>
      <c r="D42" s="2634"/>
      <c r="E42" s="2634"/>
      <c r="F42" s="1705"/>
      <c r="G42" s="1706"/>
      <c r="H42" s="1706"/>
      <c r="I42" s="1706"/>
      <c r="J42" s="1706"/>
      <c r="K42" s="1706"/>
    </row>
    <row r="43" spans="1:11" ht="11.25" customHeight="1" x14ac:dyDescent="0.25">
      <c r="A43" s="2633" t="s">
        <v>2599</v>
      </c>
      <c r="B43" s="1709" t="s">
        <v>2652</v>
      </c>
      <c r="C43" s="2634" t="s">
        <v>2626</v>
      </c>
      <c r="D43" s="2634" t="s">
        <v>2626</v>
      </c>
      <c r="E43" s="2634" t="s">
        <v>2653</v>
      </c>
      <c r="F43" s="2634" t="s">
        <v>2729</v>
      </c>
      <c r="G43" s="2634" t="s">
        <v>2729</v>
      </c>
      <c r="H43" s="2634" t="s">
        <v>2729</v>
      </c>
      <c r="I43" s="1706"/>
      <c r="J43" s="1706"/>
      <c r="K43" s="1706"/>
    </row>
    <row r="44" spans="1:11" ht="11.25" customHeight="1" x14ac:dyDescent="0.25">
      <c r="A44" s="1528" t="s">
        <v>2600</v>
      </c>
      <c r="B44" s="1709"/>
      <c r="C44" s="1705"/>
      <c r="D44" s="2634"/>
      <c r="E44" s="2634"/>
      <c r="F44" s="1705"/>
      <c r="G44" s="1706"/>
      <c r="H44" s="1706"/>
      <c r="I44" s="1706"/>
      <c r="J44" s="1706"/>
      <c r="K44" s="1706"/>
    </row>
    <row r="45" spans="1:11" ht="11.25" customHeight="1" x14ac:dyDescent="0.25">
      <c r="A45" s="2633" t="s">
        <v>2601</v>
      </c>
      <c r="B45" s="1709" t="s">
        <v>2654</v>
      </c>
      <c r="C45" s="2634" t="s">
        <v>2626</v>
      </c>
      <c r="D45" s="2634" t="s">
        <v>2626</v>
      </c>
      <c r="E45" s="2634" t="s">
        <v>2655</v>
      </c>
      <c r="F45" s="2634" t="s">
        <v>2730</v>
      </c>
      <c r="G45" s="2634" t="s">
        <v>2730</v>
      </c>
      <c r="H45" s="2634" t="s">
        <v>2730</v>
      </c>
      <c r="I45" s="1706"/>
      <c r="J45" s="1706"/>
      <c r="K45" s="1706"/>
    </row>
    <row r="46" spans="1:11" ht="11.25" customHeight="1" x14ac:dyDescent="0.25">
      <c r="A46" s="1528" t="s">
        <v>2602</v>
      </c>
      <c r="B46" s="1709"/>
      <c r="C46" s="1705"/>
      <c r="D46" s="2634"/>
      <c r="E46" s="2634"/>
      <c r="F46" s="1705"/>
      <c r="G46" s="1706"/>
      <c r="H46" s="1706"/>
      <c r="I46" s="1706"/>
      <c r="J46" s="1706"/>
      <c r="K46" s="1706"/>
    </row>
    <row r="47" spans="1:11" ht="11.25" customHeight="1" x14ac:dyDescent="0.25">
      <c r="A47" s="2633" t="s">
        <v>2603</v>
      </c>
      <c r="B47" s="1709" t="s">
        <v>2647</v>
      </c>
      <c r="C47" s="2634" t="s">
        <v>2626</v>
      </c>
      <c r="D47" s="2634" t="s">
        <v>2626</v>
      </c>
      <c r="E47" s="2634" t="s">
        <v>2656</v>
      </c>
      <c r="F47" s="2634" t="s">
        <v>2731</v>
      </c>
      <c r="G47" s="2634" t="s">
        <v>2731</v>
      </c>
      <c r="H47" s="2634" t="s">
        <v>2731</v>
      </c>
      <c r="I47" s="1706"/>
      <c r="J47" s="1706"/>
      <c r="K47" s="1706"/>
    </row>
    <row r="48" spans="1:11" ht="11.25" customHeight="1" x14ac:dyDescent="0.25">
      <c r="A48" s="1528" t="s">
        <v>2604</v>
      </c>
      <c r="B48" s="1709"/>
      <c r="C48" s="1705"/>
      <c r="D48" s="1705"/>
      <c r="E48" s="2634"/>
      <c r="F48" s="1705"/>
      <c r="G48" s="1706"/>
      <c r="H48" s="1706"/>
      <c r="I48" s="1706"/>
      <c r="J48" s="1706"/>
      <c r="K48" s="1706"/>
    </row>
    <row r="49" spans="1:11" ht="11.25" customHeight="1" x14ac:dyDescent="0.25">
      <c r="A49" s="2633" t="s">
        <v>2605</v>
      </c>
      <c r="B49" s="1709" t="s">
        <v>2647</v>
      </c>
      <c r="C49" s="2634" t="s">
        <v>2626</v>
      </c>
      <c r="D49" s="2634" t="s">
        <v>2626</v>
      </c>
      <c r="E49" s="2634" t="s">
        <v>2657</v>
      </c>
      <c r="F49" s="2634" t="s">
        <v>2732</v>
      </c>
      <c r="G49" s="2634" t="s">
        <v>2732</v>
      </c>
      <c r="H49" s="2634" t="s">
        <v>2732</v>
      </c>
      <c r="I49" s="1706"/>
      <c r="J49" s="1706"/>
      <c r="K49" s="1706"/>
    </row>
    <row r="50" spans="1:11" ht="11.25" customHeight="1" x14ac:dyDescent="0.25">
      <c r="A50" s="1528" t="s">
        <v>2606</v>
      </c>
      <c r="B50" s="1709"/>
      <c r="C50" s="1705"/>
      <c r="D50" s="1705"/>
      <c r="E50" s="2634"/>
      <c r="F50" s="1705"/>
      <c r="G50" s="1706"/>
      <c r="H50" s="1706"/>
      <c r="I50" s="1706"/>
      <c r="J50" s="1706"/>
      <c r="K50" s="1706"/>
    </row>
    <row r="51" spans="1:11" ht="11.25" customHeight="1" x14ac:dyDescent="0.25">
      <c r="A51" s="2633" t="s">
        <v>2607</v>
      </c>
      <c r="B51" s="1709" t="s">
        <v>2647</v>
      </c>
      <c r="C51" s="2634" t="s">
        <v>2626</v>
      </c>
      <c r="D51" s="2634" t="s">
        <v>2626</v>
      </c>
      <c r="E51" s="2634" t="s">
        <v>2658</v>
      </c>
      <c r="F51" s="2634" t="s">
        <v>2626</v>
      </c>
      <c r="G51" s="2634" t="s">
        <v>2626</v>
      </c>
      <c r="H51" s="2634" t="s">
        <v>2626</v>
      </c>
      <c r="I51" s="1706"/>
      <c r="J51" s="1706"/>
      <c r="K51" s="1706"/>
    </row>
    <row r="52" spans="1:11" ht="11.25" customHeight="1" x14ac:dyDescent="0.25">
      <c r="A52" s="1528" t="s">
        <v>2608</v>
      </c>
      <c r="B52" s="1709"/>
      <c r="C52" s="1705"/>
      <c r="D52" s="1705"/>
      <c r="E52" s="2634"/>
      <c r="F52" s="1705"/>
      <c r="G52" s="1706"/>
      <c r="H52" s="1706"/>
      <c r="I52" s="1706"/>
      <c r="J52" s="1706"/>
      <c r="K52" s="1706"/>
    </row>
    <row r="53" spans="1:11" ht="11.25" customHeight="1" x14ac:dyDescent="0.25">
      <c r="A53" s="2633" t="s">
        <v>2609</v>
      </c>
      <c r="B53" s="1709" t="s">
        <v>2647</v>
      </c>
      <c r="C53" s="2634" t="s">
        <v>2626</v>
      </c>
      <c r="D53" s="2634" t="s">
        <v>2626</v>
      </c>
      <c r="E53" s="2634" t="s">
        <v>2659</v>
      </c>
      <c r="F53" s="2634" t="s">
        <v>2733</v>
      </c>
      <c r="G53" s="2634" t="s">
        <v>2733</v>
      </c>
      <c r="H53" s="2634" t="s">
        <v>2733</v>
      </c>
      <c r="I53" s="1706"/>
      <c r="J53" s="1706"/>
      <c r="K53" s="1706"/>
    </row>
    <row r="54" spans="1:11" ht="11.25" customHeight="1" x14ac:dyDescent="0.25">
      <c r="A54" s="1528" t="s">
        <v>2610</v>
      </c>
      <c r="B54" s="1709"/>
      <c r="C54" s="1705"/>
      <c r="D54" s="1705"/>
      <c r="E54" s="2634"/>
      <c r="F54" s="1705"/>
      <c r="G54" s="1706"/>
      <c r="H54" s="1706"/>
      <c r="I54" s="1706"/>
      <c r="J54" s="1706"/>
      <c r="K54" s="1706"/>
    </row>
    <row r="55" spans="1:11" ht="11.25" customHeight="1" x14ac:dyDescent="0.25">
      <c r="A55" s="2633" t="s">
        <v>2611</v>
      </c>
      <c r="B55" s="1709" t="s">
        <v>2647</v>
      </c>
      <c r="C55" s="2634" t="s">
        <v>2626</v>
      </c>
      <c r="D55" s="2634" t="s">
        <v>2626</v>
      </c>
      <c r="E55" s="2634" t="s">
        <v>2660</v>
      </c>
      <c r="F55" s="2634" t="s">
        <v>2734</v>
      </c>
      <c r="G55" s="2634" t="s">
        <v>2734</v>
      </c>
      <c r="H55" s="2634" t="s">
        <v>2734</v>
      </c>
      <c r="I55" s="1706"/>
      <c r="J55" s="1706"/>
      <c r="K55" s="1706"/>
    </row>
    <row r="56" spans="1:11" ht="11.25" customHeight="1" x14ac:dyDescent="0.25">
      <c r="A56" s="1528" t="s">
        <v>2612</v>
      </c>
      <c r="B56" s="1709"/>
      <c r="C56" s="1705"/>
      <c r="D56" s="1705"/>
      <c r="E56" s="2634"/>
      <c r="F56" s="1705"/>
      <c r="G56" s="1706"/>
      <c r="H56" s="1706"/>
      <c r="I56" s="1706"/>
      <c r="J56" s="1706"/>
      <c r="K56" s="1706"/>
    </row>
    <row r="57" spans="1:11" ht="11.25" customHeight="1" x14ac:dyDescent="0.25">
      <c r="A57" s="2633" t="s">
        <v>2613</v>
      </c>
      <c r="B57" s="1709" t="s">
        <v>2661</v>
      </c>
      <c r="C57" s="2634" t="s">
        <v>2626</v>
      </c>
      <c r="D57" s="2634" t="s">
        <v>2626</v>
      </c>
      <c r="E57" s="2634" t="s">
        <v>2662</v>
      </c>
      <c r="F57" s="2634" t="s">
        <v>2735</v>
      </c>
      <c r="G57" s="2634" t="s">
        <v>2735</v>
      </c>
      <c r="H57" s="2634" t="s">
        <v>2735</v>
      </c>
      <c r="I57" s="1706"/>
      <c r="J57" s="1706"/>
      <c r="K57" s="1706"/>
    </row>
    <row r="58" spans="1:11" ht="11.25" customHeight="1" x14ac:dyDescent="0.25">
      <c r="A58" s="2633"/>
      <c r="B58" s="1709"/>
      <c r="C58" s="1705"/>
      <c r="D58" s="1705"/>
      <c r="E58" s="1706"/>
      <c r="F58" s="1705"/>
      <c r="G58" s="1706"/>
      <c r="H58" s="1706"/>
      <c r="I58" s="1706"/>
      <c r="J58" s="1706"/>
      <c r="K58" s="1706"/>
    </row>
    <row r="59" spans="1:11" ht="11.25" customHeight="1" x14ac:dyDescent="0.25">
      <c r="A59" s="1524" t="s">
        <v>2614</v>
      </c>
      <c r="B59" s="1709"/>
      <c r="C59" s="1705"/>
      <c r="D59" s="1706"/>
      <c r="E59" s="1706"/>
      <c r="F59" s="1706"/>
      <c r="G59" s="1706"/>
      <c r="H59" s="1706"/>
      <c r="I59" s="1706"/>
      <c r="J59" s="1706"/>
      <c r="K59" s="1706"/>
    </row>
    <row r="60" spans="1:11" ht="11.25" customHeight="1" x14ac:dyDescent="0.25">
      <c r="A60" s="1527" t="s">
        <v>2615</v>
      </c>
      <c r="B60" s="1709"/>
      <c r="C60" s="1705"/>
      <c r="D60" s="1706"/>
      <c r="E60" s="1706"/>
      <c r="F60" s="1706"/>
      <c r="G60" s="1706"/>
      <c r="H60" s="1706"/>
      <c r="I60" s="1706"/>
      <c r="J60" s="1706"/>
      <c r="K60" s="1706"/>
    </row>
    <row r="61" spans="1:11" ht="11.25" customHeight="1" x14ac:dyDescent="0.25">
      <c r="A61" s="1528" t="s">
        <v>2616</v>
      </c>
      <c r="B61" s="1704"/>
      <c r="C61" s="1705"/>
      <c r="D61" s="1706"/>
      <c r="E61" s="1706"/>
      <c r="F61" s="1706"/>
      <c r="G61" s="1706"/>
      <c r="H61" s="1706"/>
      <c r="I61" s="1706"/>
      <c r="J61" s="1706"/>
      <c r="K61" s="1706"/>
    </row>
    <row r="62" spans="1:11" ht="11.25" customHeight="1" x14ac:dyDescent="0.25">
      <c r="A62" s="2633" t="s">
        <v>2617</v>
      </c>
      <c r="B62" s="1709" t="s">
        <v>2663</v>
      </c>
      <c r="C62" s="2634" t="s">
        <v>2626</v>
      </c>
      <c r="D62" s="2634" t="s">
        <v>2626</v>
      </c>
      <c r="E62" s="2634" t="s">
        <v>2664</v>
      </c>
      <c r="F62" s="2634" t="s">
        <v>2626</v>
      </c>
      <c r="G62" s="2634" t="s">
        <v>2626</v>
      </c>
      <c r="H62" s="2634" t="s">
        <v>2626</v>
      </c>
      <c r="I62" s="1706"/>
      <c r="J62" s="1706"/>
      <c r="K62" s="1706"/>
    </row>
    <row r="63" spans="1:11" ht="11.25" customHeight="1" x14ac:dyDescent="0.25">
      <c r="A63" s="1711"/>
      <c r="B63" s="1704"/>
      <c r="C63" s="1705"/>
      <c r="D63" s="1706"/>
      <c r="E63" s="1706"/>
      <c r="F63" s="1706"/>
      <c r="G63" s="1706"/>
      <c r="H63" s="1706"/>
      <c r="I63" s="1706"/>
      <c r="J63" s="1706"/>
      <c r="K63" s="1706"/>
    </row>
    <row r="64" spans="1:11" ht="11.25" customHeight="1" x14ac:dyDescent="0.25">
      <c r="A64" s="1527" t="s">
        <v>2618</v>
      </c>
      <c r="B64" s="1712"/>
      <c r="C64" s="1713"/>
      <c r="D64" s="1714"/>
      <c r="E64" s="1714"/>
      <c r="F64" s="1714"/>
      <c r="G64" s="1714"/>
      <c r="H64" s="1714"/>
      <c r="I64" s="1714"/>
      <c r="J64" s="1714"/>
      <c r="K64" s="1714"/>
    </row>
    <row r="65" spans="1:11" ht="11.25" customHeight="1" x14ac:dyDescent="0.25">
      <c r="A65" s="1528" t="s">
        <v>2619</v>
      </c>
      <c r="B65" s="1709"/>
      <c r="C65" s="1705"/>
      <c r="D65" s="1706"/>
      <c r="E65" s="1706"/>
      <c r="F65" s="1706"/>
      <c r="G65" s="1706"/>
      <c r="H65" s="1706"/>
      <c r="I65" s="1706"/>
      <c r="J65" s="1706"/>
      <c r="K65" s="1706"/>
    </row>
    <row r="66" spans="1:11" ht="11.25" customHeight="1" x14ac:dyDescent="0.25">
      <c r="A66" s="2633" t="s">
        <v>2620</v>
      </c>
      <c r="B66" s="1709" t="s">
        <v>2665</v>
      </c>
      <c r="C66" s="2634" t="s">
        <v>2626</v>
      </c>
      <c r="D66" s="2634" t="s">
        <v>2626</v>
      </c>
      <c r="E66" s="2634" t="s">
        <v>2666</v>
      </c>
      <c r="F66" s="2634" t="s">
        <v>2736</v>
      </c>
      <c r="G66" s="2634" t="s">
        <v>2736</v>
      </c>
      <c r="H66" s="2634" t="s">
        <v>2736</v>
      </c>
      <c r="I66" s="1706"/>
      <c r="J66" s="1706"/>
      <c r="K66" s="1706"/>
    </row>
    <row r="67" spans="1:11" ht="11.25" customHeight="1" x14ac:dyDescent="0.25">
      <c r="A67" s="1711"/>
      <c r="B67" s="1709"/>
      <c r="C67" s="1705"/>
      <c r="D67" s="1706"/>
      <c r="E67" s="1706"/>
      <c r="F67" s="1706"/>
      <c r="G67" s="1706"/>
      <c r="H67" s="1706"/>
      <c r="I67" s="1706"/>
      <c r="J67" s="1706"/>
      <c r="K67" s="1706"/>
    </row>
    <row r="68" spans="1:11" ht="11.25" customHeight="1" x14ac:dyDescent="0.25">
      <c r="A68" s="1524" t="s">
        <v>2621</v>
      </c>
      <c r="B68" s="1709"/>
      <c r="C68" s="1705"/>
      <c r="D68" s="1706"/>
      <c r="E68" s="1706"/>
      <c r="F68" s="1706"/>
      <c r="G68" s="1706"/>
      <c r="H68" s="1706"/>
      <c r="I68" s="1706"/>
      <c r="J68" s="1706"/>
      <c r="K68" s="1706"/>
    </row>
    <row r="69" spans="1:11" ht="11.25" customHeight="1" x14ac:dyDescent="0.25">
      <c r="A69" s="1527" t="s">
        <v>2622</v>
      </c>
      <c r="B69" s="1709"/>
      <c r="C69" s="1705"/>
      <c r="D69" s="1706"/>
      <c r="E69" s="1706"/>
      <c r="F69" s="1706"/>
      <c r="G69" s="1706"/>
      <c r="H69" s="1706"/>
      <c r="I69" s="1706"/>
      <c r="J69" s="1706"/>
      <c r="K69" s="1706"/>
    </row>
    <row r="70" spans="1:11" ht="11.25" customHeight="1" x14ac:dyDescent="0.25">
      <c r="A70" s="1528" t="s">
        <v>2623</v>
      </c>
      <c r="B70" s="1709"/>
      <c r="C70" s="1705"/>
      <c r="D70" s="1706"/>
      <c r="E70" s="1706"/>
      <c r="F70" s="1706"/>
      <c r="G70" s="1706"/>
      <c r="H70" s="1706"/>
      <c r="I70" s="1706"/>
      <c r="J70" s="1706"/>
      <c r="K70" s="1706"/>
    </row>
    <row r="71" spans="1:11" ht="11.25" customHeight="1" x14ac:dyDescent="0.25">
      <c r="A71" s="1710" t="s">
        <v>2624</v>
      </c>
      <c r="B71" s="1709" t="s">
        <v>2667</v>
      </c>
      <c r="C71" s="2634" t="s">
        <v>2626</v>
      </c>
      <c r="D71" s="2634" t="s">
        <v>2626</v>
      </c>
      <c r="E71" s="2634" t="s">
        <v>2668</v>
      </c>
      <c r="F71" s="2634" t="s">
        <v>2730</v>
      </c>
      <c r="G71" s="2634" t="s">
        <v>2730</v>
      </c>
      <c r="H71" s="2634" t="s">
        <v>2730</v>
      </c>
      <c r="I71" s="1706"/>
      <c r="J71" s="1706"/>
      <c r="K71" s="1706"/>
    </row>
    <row r="72" spans="1:11" ht="11.25" customHeight="1" x14ac:dyDescent="0.25">
      <c r="A72" s="1711"/>
      <c r="B72" s="1709"/>
      <c r="C72" s="1705"/>
      <c r="D72" s="1706"/>
      <c r="E72" s="1706"/>
      <c r="F72" s="1706"/>
      <c r="G72" s="1706"/>
      <c r="H72" s="1706"/>
      <c r="I72" s="1706"/>
      <c r="J72" s="1706"/>
      <c r="K72" s="1706"/>
    </row>
    <row r="73" spans="1:11" ht="11.25" customHeight="1" x14ac:dyDescent="0.25">
      <c r="A73" s="2714" t="s">
        <v>172</v>
      </c>
      <c r="B73" s="2714"/>
      <c r="C73" s="2714"/>
      <c r="D73" s="2714"/>
      <c r="E73" s="2714"/>
      <c r="F73" s="2714"/>
      <c r="G73" s="2714"/>
      <c r="H73" s="2714"/>
      <c r="I73" s="2714"/>
      <c r="J73" s="2714"/>
      <c r="K73" s="2714"/>
    </row>
    <row r="74" spans="1:11" ht="11.25" customHeight="1" x14ac:dyDescent="0.25">
      <c r="A74" s="461" t="s">
        <v>1379</v>
      </c>
      <c r="B74" s="143"/>
      <c r="C74" s="462"/>
      <c r="D74" s="462"/>
      <c r="E74" s="462"/>
      <c r="F74" s="463"/>
      <c r="G74" s="463"/>
      <c r="H74" s="463"/>
      <c r="I74" s="463"/>
      <c r="J74" s="463"/>
      <c r="K74" s="463"/>
    </row>
    <row r="75" spans="1:11" ht="11.25" customHeight="1" x14ac:dyDescent="0.25">
      <c r="A75" s="461" t="s">
        <v>1350</v>
      </c>
      <c r="B75" s="143"/>
      <c r="C75" s="462"/>
      <c r="D75" s="462"/>
      <c r="E75" s="462"/>
      <c r="F75" s="463"/>
      <c r="G75" s="463"/>
      <c r="H75" s="463"/>
      <c r="I75" s="463"/>
      <c r="J75" s="463"/>
      <c r="K75" s="463"/>
    </row>
    <row r="76" spans="1:11" ht="10.5" x14ac:dyDescent="0.25">
      <c r="B76" s="464"/>
    </row>
    <row r="77" spans="1:11" ht="12.75" customHeight="1" x14ac:dyDescent="0.3">
      <c r="A77" s="147" t="str">
        <f>muni&amp;" - "&amp;"Entities measureable performance objectives"</f>
        <v>KZN225 Msunduzi - Entities measureable performance objectives</v>
      </c>
      <c r="B77" s="147"/>
      <c r="C77" s="147"/>
      <c r="D77" s="147"/>
      <c r="E77" s="147"/>
      <c r="F77" s="147"/>
      <c r="G77" s="147"/>
      <c r="H77" s="147"/>
      <c r="I77" s="147"/>
      <c r="J77" s="147"/>
      <c r="K77" s="147"/>
    </row>
    <row r="78" spans="1:11" ht="28.5" customHeight="1" x14ac:dyDescent="0.25">
      <c r="A78" s="2712" t="str">
        <f>A2</f>
        <v>Description</v>
      </c>
      <c r="B78" s="2710" t="s">
        <v>419</v>
      </c>
      <c r="C78" s="145" t="str">
        <f>head1b</f>
        <v>2009/10</v>
      </c>
      <c r="D78" s="150" t="str">
        <f>head1A</f>
        <v>2010/11</v>
      </c>
      <c r="E78" s="146" t="str">
        <f>Head1</f>
        <v>2011/12</v>
      </c>
      <c r="F78" s="2677" t="str">
        <f>Head2</f>
        <v>Current Year 2012/13</v>
      </c>
      <c r="G78" s="2678"/>
      <c r="H78" s="2682"/>
      <c r="I78" s="2674" t="str">
        <f>Head3</f>
        <v>2013/14 Medium Term Revenue &amp; Expenditure Framework</v>
      </c>
      <c r="J78" s="2675"/>
      <c r="K78" s="2676"/>
    </row>
    <row r="79" spans="1:11" ht="21" x14ac:dyDescent="0.25">
      <c r="A79" s="2713"/>
      <c r="B79" s="2711"/>
      <c r="C79" s="389" t="str">
        <f>Head5</f>
        <v>Audited Outcome</v>
      </c>
      <c r="D79" s="390" t="str">
        <f>Head5</f>
        <v>Audited Outcome</v>
      </c>
      <c r="E79" s="391" t="str">
        <f>Head5</f>
        <v>Audited Outcome</v>
      </c>
      <c r="F79" s="299" t="str">
        <f>Head6</f>
        <v>Original Budget</v>
      </c>
      <c r="G79" s="390" t="str">
        <f>Head7</f>
        <v>Adjusted Budget</v>
      </c>
      <c r="H79" s="391" t="str">
        <f>Head8</f>
        <v>Full Year Forecast</v>
      </c>
      <c r="I79" s="299" t="str">
        <f>Head9</f>
        <v>Budget Year 2013/14</v>
      </c>
      <c r="J79" s="390" t="str">
        <f>Head10</f>
        <v>Budget Year +1 2014/15</v>
      </c>
      <c r="K79" s="391" t="str">
        <f>Head11</f>
        <v>Budget Year +2 2015/16</v>
      </c>
    </row>
    <row r="80" spans="1:11" ht="11.25" customHeight="1" x14ac:dyDescent="0.25">
      <c r="A80" s="1526" t="s">
        <v>1380</v>
      </c>
      <c r="B80" s="1704"/>
      <c r="C80" s="1717"/>
      <c r="D80" s="1718"/>
      <c r="E80" s="1719"/>
      <c r="F80" s="1720"/>
      <c r="G80" s="1718"/>
      <c r="H80" s="1721"/>
      <c r="I80" s="1722"/>
      <c r="J80" s="1718"/>
      <c r="K80" s="1719"/>
    </row>
    <row r="81" spans="1:11" ht="11.25" customHeight="1" x14ac:dyDescent="0.25">
      <c r="A81" s="1723" t="s">
        <v>1092</v>
      </c>
      <c r="B81" s="1709"/>
      <c r="C81" s="1717"/>
      <c r="D81" s="1718"/>
      <c r="E81" s="1719"/>
      <c r="F81" s="1720"/>
      <c r="G81" s="1718"/>
      <c r="H81" s="1721"/>
      <c r="I81" s="1724"/>
      <c r="J81" s="1718"/>
      <c r="K81" s="1719"/>
    </row>
    <row r="82" spans="1:11" ht="11.25" customHeight="1" x14ac:dyDescent="0.25">
      <c r="A82" s="1723"/>
      <c r="B82" s="1709"/>
      <c r="C82" s="1717"/>
      <c r="D82" s="1718"/>
      <c r="E82" s="1719"/>
      <c r="F82" s="1720"/>
      <c r="G82" s="1718"/>
      <c r="H82" s="1721"/>
      <c r="I82" s="1724"/>
      <c r="J82" s="1718"/>
      <c r="K82" s="1719"/>
    </row>
    <row r="83" spans="1:11" ht="11.25" customHeight="1" x14ac:dyDescent="0.25">
      <c r="A83" s="1725"/>
      <c r="B83" s="1709"/>
      <c r="C83" s="1717"/>
      <c r="D83" s="1718"/>
      <c r="E83" s="1719"/>
      <c r="F83" s="1720"/>
      <c r="G83" s="1718"/>
      <c r="H83" s="1721"/>
      <c r="I83" s="1724"/>
      <c r="J83" s="1718"/>
      <c r="K83" s="1719"/>
    </row>
    <row r="84" spans="1:11" ht="11.25" customHeight="1" x14ac:dyDescent="0.25">
      <c r="A84" s="1526" t="s">
        <v>1381</v>
      </c>
      <c r="B84" s="1726"/>
      <c r="C84" s="1727"/>
      <c r="D84" s="1728"/>
      <c r="E84" s="1729"/>
      <c r="F84" s="1730"/>
      <c r="G84" s="1728"/>
      <c r="H84" s="1731"/>
      <c r="I84" s="1722"/>
      <c r="J84" s="1728"/>
      <c r="K84" s="1729"/>
    </row>
    <row r="85" spans="1:11" ht="11.25" customHeight="1" x14ac:dyDescent="0.25">
      <c r="A85" s="1723" t="str">
        <f>$A$10</f>
        <v>Sub-function 3 - Water Supply</v>
      </c>
      <c r="B85" s="1709"/>
      <c r="C85" s="1717"/>
      <c r="D85" s="1718"/>
      <c r="E85" s="1719"/>
      <c r="F85" s="1720"/>
      <c r="G85" s="1718"/>
      <c r="H85" s="1721"/>
      <c r="I85" s="1724"/>
      <c r="J85" s="1718"/>
      <c r="K85" s="1719"/>
    </row>
    <row r="86" spans="1:11" ht="11.25" customHeight="1" x14ac:dyDescent="0.25">
      <c r="A86" s="1723"/>
      <c r="B86" s="1709"/>
      <c r="C86" s="1717"/>
      <c r="D86" s="1718"/>
      <c r="E86" s="1719"/>
      <c r="F86" s="1720"/>
      <c r="G86" s="1718"/>
      <c r="H86" s="1721"/>
      <c r="I86" s="1724"/>
      <c r="J86" s="1718"/>
      <c r="K86" s="1719"/>
    </row>
    <row r="87" spans="1:11" ht="11.25" customHeight="1" x14ac:dyDescent="0.25">
      <c r="A87" s="1723"/>
      <c r="B87" s="1732"/>
      <c r="C87" s="1733"/>
      <c r="D87" s="1734"/>
      <c r="E87" s="1735"/>
      <c r="F87" s="1736"/>
      <c r="G87" s="1734"/>
      <c r="H87" s="1737"/>
      <c r="I87" s="1738"/>
      <c r="J87" s="1734"/>
      <c r="K87" s="1735"/>
    </row>
    <row r="88" spans="1:11" ht="11.25" customHeight="1" x14ac:dyDescent="0.25">
      <c r="A88" s="1526" t="s">
        <v>1382</v>
      </c>
      <c r="B88" s="1739"/>
      <c r="C88" s="1740"/>
      <c r="D88" s="1741"/>
      <c r="E88" s="1742"/>
      <c r="F88" s="1743"/>
      <c r="G88" s="1741"/>
      <c r="H88" s="1744"/>
      <c r="I88" s="1745"/>
      <c r="J88" s="1741"/>
      <c r="K88" s="1742"/>
    </row>
    <row r="89" spans="1:11" ht="11.25" customHeight="1" x14ac:dyDescent="0.25">
      <c r="A89" s="1723" t="str">
        <f>$A$10</f>
        <v>Sub-function 3 - Water Supply</v>
      </c>
      <c r="B89" s="1709"/>
      <c r="C89" s="1746"/>
      <c r="D89" s="1747"/>
      <c r="E89" s="1748"/>
      <c r="F89" s="1749"/>
      <c r="G89" s="1747"/>
      <c r="H89" s="1750"/>
      <c r="I89" s="1751"/>
      <c r="J89" s="1747"/>
      <c r="K89" s="1748"/>
    </row>
    <row r="90" spans="1:11" ht="11.25" customHeight="1" x14ac:dyDescent="0.25">
      <c r="A90" s="1723"/>
      <c r="B90" s="1732"/>
      <c r="C90" s="1733"/>
      <c r="D90" s="1734"/>
      <c r="E90" s="1735"/>
      <c r="F90" s="1736"/>
      <c r="G90" s="1734"/>
      <c r="H90" s="1737"/>
      <c r="I90" s="1738"/>
      <c r="J90" s="1734"/>
      <c r="K90" s="1735"/>
    </row>
    <row r="91" spans="1:11" ht="11.25" customHeight="1" x14ac:dyDescent="0.25">
      <c r="A91" s="1723"/>
      <c r="B91" s="1732"/>
      <c r="C91" s="1733"/>
      <c r="D91" s="1734"/>
      <c r="E91" s="1735"/>
      <c r="F91" s="1736"/>
      <c r="G91" s="1734"/>
      <c r="H91" s="1737"/>
      <c r="I91" s="1738"/>
      <c r="J91" s="1734"/>
      <c r="K91" s="1735"/>
    </row>
    <row r="92" spans="1:11" ht="11.25" customHeight="1" x14ac:dyDescent="0.25">
      <c r="A92" s="1716" t="s">
        <v>1383</v>
      </c>
      <c r="B92" s="1752"/>
      <c r="C92" s="1753"/>
      <c r="D92" s="1754"/>
      <c r="E92" s="1755"/>
      <c r="F92" s="1756"/>
      <c r="G92" s="1754"/>
      <c r="H92" s="1757"/>
      <c r="I92" s="1758"/>
      <c r="J92" s="1754"/>
      <c r="K92" s="1755"/>
    </row>
    <row r="93" spans="1:11" ht="11.25" customHeight="1" x14ac:dyDescent="0.25">
      <c r="A93" s="2714" t="s">
        <v>173</v>
      </c>
      <c r="B93" s="2714"/>
      <c r="C93" s="2714"/>
      <c r="D93" s="2714"/>
      <c r="E93" s="2714"/>
      <c r="F93" s="2714"/>
      <c r="G93" s="2714"/>
      <c r="H93" s="2714"/>
      <c r="I93" s="2714"/>
      <c r="J93" s="2714"/>
      <c r="K93" s="2714"/>
    </row>
    <row r="94" spans="1:11" ht="11.25" customHeight="1" x14ac:dyDescent="0.25">
      <c r="A94" s="461" t="s">
        <v>1351</v>
      </c>
      <c r="B94" s="143"/>
      <c r="C94" s="462"/>
      <c r="D94" s="462"/>
      <c r="E94" s="462"/>
      <c r="F94" s="463"/>
      <c r="G94" s="463"/>
      <c r="H94" s="463"/>
      <c r="I94" s="463"/>
      <c r="J94" s="463"/>
      <c r="K94" s="463"/>
    </row>
  </sheetData>
  <mergeCells count="10">
    <mergeCell ref="B2:B3"/>
    <mergeCell ref="A2:A3"/>
    <mergeCell ref="F2:H2"/>
    <mergeCell ref="I2:K2"/>
    <mergeCell ref="A93:K93"/>
    <mergeCell ref="A73:K73"/>
    <mergeCell ref="A78:A79"/>
    <mergeCell ref="B78:B79"/>
    <mergeCell ref="F78:H78"/>
    <mergeCell ref="I78:K78"/>
  </mergeCells>
  <phoneticPr fontId="2" type="noConversion"/>
  <printOptions horizontalCentered="1"/>
  <pageMargins left="0" right="0" top="0.78740157480314965" bottom="0.59055118110236227" header="0.51181102362204722" footer="0.39370078740157483"/>
  <pageSetup paperSize="9" scale="78" fitToHeight="2"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enableFormatConditionsCalculation="0">
    <tabColor indexed="42"/>
    <pageSetUpPr fitToPage="1"/>
  </sheetPr>
  <dimension ref="A1:M47"/>
  <sheetViews>
    <sheetView showGridLines="0" zoomScaleNormal="100" workbookViewId="0">
      <pane xSplit="2" ySplit="3" topLeftCell="C37" activePane="bottomRight" state="frozen"/>
      <selection pane="topRight"/>
      <selection pane="bottomLeft"/>
      <selection pane="bottomRight" activeCell="F67" sqref="F67"/>
    </sheetView>
  </sheetViews>
  <sheetFormatPr defaultColWidth="9.1796875" defaultRowHeight="10.5" x14ac:dyDescent="0.25"/>
  <cols>
    <col min="1" max="1" width="29.26953125" style="149" customWidth="1"/>
    <col min="2" max="2" width="25.1796875" style="149" customWidth="1"/>
    <col min="3" max="12" width="8.7265625" style="149" customWidth="1"/>
    <col min="13" max="16384" width="9.1796875" style="149"/>
  </cols>
  <sheetData>
    <row r="1" spans="1:12" s="179" customFormat="1" ht="13" x14ac:dyDescent="0.3">
      <c r="A1" s="147" t="str">
        <f>muni&amp;" - "&amp;TableA8</f>
        <v>KZN225 Msunduzi - Supporting Table SA8 Performance indicators and benchmarks</v>
      </c>
      <c r="B1" s="147"/>
      <c r="C1" s="147"/>
      <c r="D1" s="147"/>
      <c r="E1" s="147"/>
      <c r="F1" s="147"/>
      <c r="G1" s="147"/>
      <c r="H1" s="147"/>
      <c r="I1" s="147"/>
      <c r="J1" s="147"/>
      <c r="K1" s="147"/>
      <c r="L1" s="147"/>
    </row>
    <row r="2" spans="1:12" ht="28.5" customHeight="1" x14ac:dyDescent="0.25">
      <c r="A2" s="2712" t="s">
        <v>340</v>
      </c>
      <c r="B2" s="2710" t="s">
        <v>1085</v>
      </c>
      <c r="C2" s="145" t="str">
        <f>head1b</f>
        <v>2009/10</v>
      </c>
      <c r="D2" s="150" t="str">
        <f>head1A</f>
        <v>2010/11</v>
      </c>
      <c r="E2" s="146" t="str">
        <f>Head1</f>
        <v>2011/12</v>
      </c>
      <c r="F2" s="2677" t="str">
        <f>Head2</f>
        <v>Current Year 2012/13</v>
      </c>
      <c r="G2" s="2678"/>
      <c r="H2" s="2678"/>
      <c r="I2" s="2678"/>
      <c r="J2" s="2674" t="str">
        <f>Head3</f>
        <v>2013/14 Medium Term Revenue &amp; Expenditure Framework</v>
      </c>
      <c r="K2" s="2675"/>
      <c r="L2" s="2676"/>
    </row>
    <row r="3" spans="1:12" ht="21" x14ac:dyDescent="0.25">
      <c r="A3" s="2713"/>
      <c r="B3" s="2711"/>
      <c r="C3" s="154" t="str">
        <f>Head5</f>
        <v>Audited Outcome</v>
      </c>
      <c r="D3" s="152" t="str">
        <f>Head5</f>
        <v>Audited Outcome</v>
      </c>
      <c r="E3" s="153" t="str">
        <f>Head5</f>
        <v>Audited Outcome</v>
      </c>
      <c r="F3" s="151" t="str">
        <f>Head6</f>
        <v>Original Budget</v>
      </c>
      <c r="G3" s="152" t="str">
        <f>Head7</f>
        <v>Adjusted Budget</v>
      </c>
      <c r="H3" s="153" t="str">
        <f>Head8</f>
        <v>Full Year Forecast</v>
      </c>
      <c r="I3" s="154" t="str">
        <f>Head5b</f>
        <v>Pre-audit outcome</v>
      </c>
      <c r="J3" s="151" t="str">
        <f>Head9</f>
        <v>Budget Year 2013/14</v>
      </c>
      <c r="K3" s="152" t="str">
        <f>Head10</f>
        <v>Budget Year +1 2014/15</v>
      </c>
      <c r="L3" s="153" t="str">
        <f>Head11</f>
        <v>Budget Year +2 2015/16</v>
      </c>
    </row>
    <row r="4" spans="1:12" x14ac:dyDescent="0.25">
      <c r="A4" s="465" t="s">
        <v>792</v>
      </c>
      <c r="B4" s="466"/>
      <c r="C4" s="467"/>
      <c r="D4" s="439"/>
      <c r="E4" s="468"/>
      <c r="F4" s="469"/>
      <c r="G4" s="439"/>
      <c r="H4" s="468"/>
      <c r="I4" s="470"/>
      <c r="J4" s="467"/>
      <c r="K4" s="439"/>
      <c r="L4" s="468"/>
    </row>
    <row r="5" spans="1:12" ht="5.25" customHeight="1" x14ac:dyDescent="0.25">
      <c r="A5" s="477"/>
      <c r="B5" s="471"/>
      <c r="C5" s="472"/>
      <c r="D5" s="473"/>
      <c r="E5" s="474"/>
      <c r="F5" s="475"/>
      <c r="G5" s="473"/>
      <c r="H5" s="474"/>
      <c r="I5" s="476"/>
      <c r="J5" s="472"/>
      <c r="K5" s="473"/>
      <c r="L5" s="474"/>
    </row>
    <row r="6" spans="1:12" x14ac:dyDescent="0.25">
      <c r="A6" s="477" t="s">
        <v>951</v>
      </c>
      <c r="B6" s="471"/>
      <c r="C6" s="1759"/>
      <c r="D6" s="1760"/>
      <c r="E6" s="1761"/>
      <c r="F6" s="1762"/>
      <c r="G6" s="1760"/>
      <c r="H6" s="1761"/>
      <c r="I6" s="1763"/>
      <c r="J6" s="478"/>
      <c r="K6" s="479"/>
      <c r="L6" s="480"/>
    </row>
    <row r="7" spans="1:12" ht="21" x14ac:dyDescent="0.25">
      <c r="A7" s="477" t="s">
        <v>588</v>
      </c>
      <c r="B7" s="471" t="s">
        <v>1437</v>
      </c>
      <c r="C7" s="472">
        <f>IF(ISERROR(('A4-FinPerf RE'!C29-'A7-CFlow'!C33)/'A4-FinPerf RE'!C36),0,(('A4-FinPerf RE'!C29-'A7-CFlow'!C33)/'A4-FinPerf RE'!C36))</f>
        <v>2.6815241751140324E-2</v>
      </c>
      <c r="D7" s="473">
        <f>IF(ISERROR(('A4-FinPerf RE'!D29-'A7-CFlow'!D33)/'A4-FinPerf RE'!D36),0,(('A4-FinPerf RE'!D29-'A7-CFlow'!D33)/'A4-FinPerf RE'!D36))</f>
        <v>2.5494452630309878E-2</v>
      </c>
      <c r="E7" s="474">
        <f>IF(ISERROR(('A4-FinPerf RE'!E29-'A7-CFlow'!E33)/'A4-FinPerf RE'!E36),0,(('A4-FinPerf RE'!E29-'A7-CFlow'!E33)/'A4-FinPerf RE'!E36))</f>
        <v>3.105934792178178E-2</v>
      </c>
      <c r="F7" s="475">
        <f>IF(ISERROR(('A4-FinPerf RE'!F29-'A7-CFlow'!F33)/'A4-FinPerf RE'!F36),0,(('A4-FinPerf RE'!F29-'A7-CFlow'!F33)/'A4-FinPerf RE'!F36))</f>
        <v>1.9369041604805858E-2</v>
      </c>
      <c r="G7" s="473">
        <f>IF(ISERROR(('A4-FinPerf RE'!G29-'A7-CFlow'!G33)/'A4-FinPerf RE'!G36),0,(('A4-FinPerf RE'!G29-'A7-CFlow'!G33)/'A4-FinPerf RE'!G36))</f>
        <v>1.6330375977664367E-2</v>
      </c>
      <c r="H7" s="474">
        <f>IF(ISERROR(('A4-FinPerf RE'!H29-'A7-CFlow'!H33)/'A4-FinPerf RE'!H36),0,(('A4-FinPerf RE'!H29-'A7-CFlow'!H33)/'A4-FinPerf RE'!H36))</f>
        <v>1.6330383669941457E-2</v>
      </c>
      <c r="I7" s="476">
        <f>IF(ISERROR(('A4-FinPerf RE'!I29-'A7-CFlow'!I33)/'A4-FinPerf RE'!I36),0,(('A4-FinPerf RE'!I29-'A7-CFlow'!I33)/'A4-FinPerf RE'!I36))</f>
        <v>1.6330382787990733E-2</v>
      </c>
      <c r="J7" s="472">
        <f>IF(ISERROR(('A4-FinPerf RE'!J29-'A7-CFlow'!J33)/'A4-FinPerf RE'!J36),0,(('A4-FinPerf RE'!J29-'A7-CFlow'!J33)/'A4-FinPerf RE'!J36))</f>
        <v>7.6486217722884853E-3</v>
      </c>
      <c r="K7" s="473">
        <f>IF(ISERROR(('A4-FinPerf RE'!K29-'A7-CFlow'!K33)/'A4-FinPerf RE'!K36),0,(('A4-FinPerf RE'!K29-'A7-CFlow'!K33)/'A4-FinPerf RE'!K36))</f>
        <v>6.0780569892689125E-3</v>
      </c>
      <c r="L7" s="474">
        <f>IF(ISERROR(('A4-FinPerf RE'!L29-'A7-CFlow'!L33)/'A4-FinPerf RE'!L36),0,(('A4-FinPerf RE'!L29-'A7-CFlow'!L33)/'A4-FinPerf RE'!L36))</f>
        <v>-5.3999038721444396E-2</v>
      </c>
    </row>
    <row r="8" spans="1:12" ht="21" x14ac:dyDescent="0.25">
      <c r="A8" s="477" t="s">
        <v>2201</v>
      </c>
      <c r="B8" s="471" t="s">
        <v>2213</v>
      </c>
      <c r="C8" s="472">
        <f>IF(ISERROR(('A4-FinPerf RE'!C29-'A7-CFlow'!C33)/('A4-FinPerf RE'!C22-'A4-FinPerf RE'!C19)),0,(('A4-FinPerf RE'!C29-'A7-CFlow'!C33)/('A4-FinPerf RE'!C22-'A4-FinPerf RE'!C19)))</f>
        <v>3.3894534497998764E-2</v>
      </c>
      <c r="D8" s="473">
        <f>IF(ISERROR(('A4-FinPerf RE'!D29-'A7-CFlow'!D33)/('A4-FinPerf RE'!D22-'A4-FinPerf RE'!D19)),0,(('A4-FinPerf RE'!D29-'A7-CFlow'!D33)/('A4-FinPerf RE'!D22-'A4-FinPerf RE'!D19)))</f>
        <v>2.8439702703996411E-2</v>
      </c>
      <c r="E8" s="474">
        <f>IF(ISERROR(('A4-FinPerf RE'!E29-'A7-CFlow'!E33)/('A4-FinPerf RE'!E22-'A4-FinPerf RE'!E19)),0,(('A4-FinPerf RE'!E29-'A7-CFlow'!E33)/('A4-FinPerf RE'!E22-'A4-FinPerf RE'!E19)))</f>
        <v>3.4523277312648877E-2</v>
      </c>
      <c r="F8" s="475">
        <f>IF(ISERROR(('A4-FinPerf RE'!F29-'A7-CFlow'!F33)/('A4-FinPerf RE'!F22-'A4-FinPerf RE'!F19)),0,(('A4-FinPerf RE'!F29-'A7-CFlow'!F33)/('A4-FinPerf RE'!F22-'A4-FinPerf RE'!F19)))</f>
        <v>2.2028256939810986E-2</v>
      </c>
      <c r="G8" s="473">
        <f>IF(ISERROR(('A4-FinPerf RE'!G29-'A7-CFlow'!G33)/('A4-FinPerf RE'!G22-'A4-FinPerf RE'!G19)),0,(('A4-FinPerf RE'!G29-'A7-CFlow'!G33)/('A4-FinPerf RE'!G22-'A4-FinPerf RE'!G19)))</f>
        <v>1.8817387315480657E-2</v>
      </c>
      <c r="H8" s="474">
        <f>IF(ISERROR(('A4-FinPerf RE'!H29-'A7-CFlow'!H33)/('A4-FinPerf RE'!H22-'A4-FinPerf RE'!H19)),0,(('A4-FinPerf RE'!H29-'A7-CFlow'!H33)/('A4-FinPerf RE'!H22-'A4-FinPerf RE'!H19)))</f>
        <v>1.8817387315480657E-2</v>
      </c>
      <c r="I8" s="476">
        <f>IF(ISERROR(('A4-FinPerf RE'!I29-'A7-CFlow'!I33)/('A4-FinPerf RE'!I22-'A4-FinPerf RE'!I19)),0,(('A4-FinPerf RE'!I29-'A7-CFlow'!I33)/('A4-FinPerf RE'!I22-'A4-FinPerf RE'!I19)))</f>
        <v>1.8817387315480657E-2</v>
      </c>
      <c r="J8" s="472">
        <f>IF(ISERROR(('A4-FinPerf RE'!J29-'A7-CFlow'!J33)/('A4-FinPerf RE'!J22-'A4-FinPerf RE'!J19)),0,(('A4-FinPerf RE'!J29-'A7-CFlow'!J33)/('A4-FinPerf RE'!J22-'A4-FinPerf RE'!J19)))</f>
        <v>9.199005558070664E-3</v>
      </c>
      <c r="K8" s="473">
        <f>IF(ISERROR(('A4-FinPerf RE'!K29-'A7-CFlow'!K33)/('A4-FinPerf RE'!K22-'A4-FinPerf RE'!K19)),0,(('A4-FinPerf RE'!K29-'A7-CFlow'!K33)/('A4-FinPerf RE'!K22-'A4-FinPerf RE'!K19)))</f>
        <v>7.0972772055746562E-3</v>
      </c>
      <c r="L8" s="474">
        <f>IF(ISERROR(('A4-FinPerf RE'!L29-'A7-CFlow'!L33)/('A4-FinPerf RE'!L22-'A4-FinPerf RE'!L19)),0,(('A4-FinPerf RE'!L29-'A7-CFlow'!L33)/('A4-FinPerf RE'!L22-'A4-FinPerf RE'!L19)))</f>
        <v>-6.36126744852962E-2</v>
      </c>
    </row>
    <row r="9" spans="1:12" ht="21" x14ac:dyDescent="0.25">
      <c r="A9" s="477" t="s">
        <v>908</v>
      </c>
      <c r="B9" s="471" t="s">
        <v>372</v>
      </c>
      <c r="C9" s="472">
        <f>IF(ISERROR(C47/C46),0,(C47/C46))</f>
        <v>1.4197598500575517</v>
      </c>
      <c r="D9" s="473">
        <f>IF(ISERROR(D47/D46),0,(D47/D46))</f>
        <v>-2.1470408091537663</v>
      </c>
      <c r="E9" s="474">
        <f t="shared" ref="E9:L9" si="0">IF(ISERROR(E47/E46),0,(E47/E46))</f>
        <v>1.5003630864884459</v>
      </c>
      <c r="F9" s="475">
        <f t="shared" si="0"/>
        <v>0</v>
      </c>
      <c r="G9" s="473">
        <f t="shared" si="0"/>
        <v>0</v>
      </c>
      <c r="H9" s="474">
        <f t="shared" si="0"/>
        <v>0</v>
      </c>
      <c r="I9" s="476">
        <f t="shared" si="0"/>
        <v>0</v>
      </c>
      <c r="J9" s="472">
        <f t="shared" si="0"/>
        <v>0</v>
      </c>
      <c r="K9" s="473">
        <f t="shared" si="0"/>
        <v>0</v>
      </c>
      <c r="L9" s="474">
        <f t="shared" si="0"/>
        <v>-0.85740000000000005</v>
      </c>
    </row>
    <row r="10" spans="1:12" x14ac:dyDescent="0.25">
      <c r="A10" s="481" t="s">
        <v>347</v>
      </c>
      <c r="B10" s="471"/>
      <c r="C10" s="482"/>
      <c r="D10" s="483"/>
      <c r="E10" s="484"/>
      <c r="F10" s="485"/>
      <c r="G10" s="483"/>
      <c r="H10" s="484"/>
      <c r="I10" s="486"/>
      <c r="J10" s="482"/>
      <c r="K10" s="483"/>
      <c r="L10" s="484"/>
    </row>
    <row r="11" spans="1:12" x14ac:dyDescent="0.25">
      <c r="A11" s="477" t="s">
        <v>346</v>
      </c>
      <c r="B11" s="471" t="s">
        <v>294</v>
      </c>
      <c r="C11" s="472">
        <f>IF(ISERROR(('A6-FinPos'!C37/'A6-FinPos'!C46)),0,(('A6-FinPos'!C37/'A6-FinPos'!C46)))</f>
        <v>10.863733160680901</v>
      </c>
      <c r="D11" s="473">
        <f>IF(ISERROR(('A6-FinPos'!D37/'A6-FinPos'!D46)),0,(('A6-FinPos'!D37/'A6-FinPos'!D46)))</f>
        <v>9.7520007368000261</v>
      </c>
      <c r="E11" s="474">
        <f>IF(ISERROR(('A6-FinPos'!E37/'A6-FinPos'!E46)),0,(('A6-FinPos'!E37/'A6-FinPos'!E46)))</f>
        <v>0.4028870741122918</v>
      </c>
      <c r="F11" s="475">
        <f>IF(ISERROR(('A6-FinPos'!F37/'A6-FinPos'!F46)),0,(('A6-FinPos'!F37/'A6-FinPos'!F46)))</f>
        <v>12.154234516525339</v>
      </c>
      <c r="G11" s="473">
        <f>IF(ISERROR(('A6-FinPos'!G37/'A6-FinPos'!G46)),0,(('A6-FinPos'!G37/'A6-FinPos'!G46)))</f>
        <v>12.154213977242856</v>
      </c>
      <c r="H11" s="474">
        <f>IF(ISERROR(('A6-FinPos'!H37/'A6-FinPos'!H46)),0,(('A6-FinPos'!H37/'A6-FinPos'!H46)))</f>
        <v>12.154213977242856</v>
      </c>
      <c r="I11" s="476">
        <f>IF(ISERROR(('A6-FinPos'!I37/'A6-FinPos'!I46)),0,(('A6-FinPos'!I37/'A6-FinPos'!I46)))</f>
        <v>12.154213977242856</v>
      </c>
      <c r="J11" s="472">
        <f>IF(ISERROR(('A6-FinPos'!J37/'A6-FinPos'!J46)),0,(('A6-FinPos'!J37/'A6-FinPos'!J46)))</f>
        <v>10.217440830095365</v>
      </c>
      <c r="K11" s="473">
        <f>IF(ISERROR(('A6-FinPos'!K37/'A6-FinPos'!K46)),0,(('A6-FinPos'!K37/'A6-FinPos'!K46)))</f>
        <v>8.5502734883184157</v>
      </c>
      <c r="L11" s="474">
        <f>IF(ISERROR(('A6-FinPos'!L37/'A6-FinPos'!L46)),0,(('A6-FinPos'!L37/'A6-FinPos'!L46)))</f>
        <v>8.0805802984177095</v>
      </c>
    </row>
    <row r="12" spans="1:12" x14ac:dyDescent="0.25">
      <c r="A12" s="481" t="s">
        <v>348</v>
      </c>
      <c r="B12" s="471"/>
      <c r="C12" s="482"/>
      <c r="D12" s="483"/>
      <c r="E12" s="484"/>
      <c r="F12" s="485"/>
      <c r="G12" s="483"/>
      <c r="H12" s="484"/>
      <c r="I12" s="486"/>
      <c r="J12" s="482"/>
      <c r="K12" s="483"/>
      <c r="L12" s="484"/>
    </row>
    <row r="13" spans="1:12" x14ac:dyDescent="0.25">
      <c r="A13" s="477" t="s">
        <v>589</v>
      </c>
      <c r="B13" s="471" t="s">
        <v>1441</v>
      </c>
      <c r="C13" s="487">
        <f>IF(ISERROR('A6-FinPos'!C12/'A6-FinPos'!C34),0,('A6-FinPos'!C12/'A6-FinPos'!C34))</f>
        <v>0.78283677912663585</v>
      </c>
      <c r="D13" s="488">
        <f>IF(ISERROR('A6-FinPos'!D12/'A6-FinPos'!D34),0,('A6-FinPos'!D12/'A6-FinPos'!D34))</f>
        <v>1.1984969451912082</v>
      </c>
      <c r="E13" s="489">
        <f>IF(ISERROR('A6-FinPos'!E12/'A6-FinPos'!E34),0,('A6-FinPos'!E12/'A6-FinPos'!E34))</f>
        <v>1.5577564492149127</v>
      </c>
      <c r="F13" s="490">
        <f>IF(ISERROR('A6-FinPos'!F12/'A6-FinPos'!F34),0,('A6-FinPos'!F12/'A6-FinPos'!F34))</f>
        <v>3.7567295840605275</v>
      </c>
      <c r="G13" s="488">
        <f>IF(ISERROR('A6-FinPos'!G12/'A6-FinPos'!G34),0,('A6-FinPos'!G12/'A6-FinPos'!G34))</f>
        <v>4.1183747866817768</v>
      </c>
      <c r="H13" s="489">
        <f>IF(ISERROR('A6-FinPos'!H12/'A6-FinPos'!H34),0,('A6-FinPos'!H12/'A6-FinPos'!H34))</f>
        <v>4.1183747866817768</v>
      </c>
      <c r="I13" s="491">
        <f>IF(ISERROR('A6-FinPos'!I12/'A6-FinPos'!I34),0,('A6-FinPos'!I12/'A6-FinPos'!I34))</f>
        <v>4.1183747866817768</v>
      </c>
      <c r="J13" s="487">
        <f>IF(ISERROR('A6-FinPos'!J12/'A6-FinPos'!J34),0,('A6-FinPos'!J12/'A6-FinPos'!J34))</f>
        <v>4.1731720227494797</v>
      </c>
      <c r="K13" s="488">
        <f>IF(ISERROR('A6-FinPos'!K12/'A6-FinPos'!K34),0,('A6-FinPos'!K12/'A6-FinPos'!K34))</f>
        <v>3.9234698576003812</v>
      </c>
      <c r="L13" s="489">
        <f>IF(ISERROR('A6-FinPos'!L12/'A6-FinPos'!L34),0,('A6-FinPos'!L12/'A6-FinPos'!L34))</f>
        <v>5.5594566607201408</v>
      </c>
    </row>
    <row r="14" spans="1:12" ht="21" x14ac:dyDescent="0.25">
      <c r="A14" s="477" t="s">
        <v>1438</v>
      </c>
      <c r="B14" s="471" t="s">
        <v>1385</v>
      </c>
      <c r="C14" s="487">
        <f>IF(ISERROR(('A6-FinPos'!C12-'SA8'!C43)/'A6-FinPos'!C34),0,(('A6-FinPos'!C12-'SA8'!C43)/'A6-FinPos'!C34))</f>
        <v>0.78283677912663585</v>
      </c>
      <c r="D14" s="488">
        <f>IF(ISERROR(('A6-FinPos'!D12-'SA8'!D43)/'A6-FinPos'!D34),0,(('A6-FinPos'!D12-'SA8'!D43)/'A6-FinPos'!D34))</f>
        <v>1.1984969451912082</v>
      </c>
      <c r="E14" s="489">
        <f>IF(ISERROR(('A6-FinPos'!E12-'SA8'!E43)/'A6-FinPos'!E34),0,(('A6-FinPos'!E12-'SA8'!E43)/'A6-FinPos'!E34))</f>
        <v>1.5577564492149127</v>
      </c>
      <c r="F14" s="490">
        <f>IF(ISERROR(('A6-FinPos'!F12-'SA8'!F43)/'A6-FinPos'!F34),0,(('A6-FinPos'!F12-'SA8'!F43)/'A6-FinPos'!F34))</f>
        <v>3.7567295840605275</v>
      </c>
      <c r="G14" s="488">
        <f>IF(ISERROR(('A6-FinPos'!G12-'SA8'!G43)/'A6-FinPos'!G34),0,(('A6-FinPos'!G12-'SA8'!G43)/'A6-FinPos'!G34))</f>
        <v>4.1183747866817768</v>
      </c>
      <c r="H14" s="489">
        <f>IF(ISERROR(('A6-FinPos'!H12-'SA8'!H43)/'A6-FinPos'!H34),0,(('A6-FinPos'!H12-'SA8'!H43)/'A6-FinPos'!H34))</f>
        <v>4.1183747866817768</v>
      </c>
      <c r="I14" s="491">
        <f>IF(ISERROR(('A6-FinPos'!I12-'SA8'!I43)/'A6-FinPos'!I34),0,(('A6-FinPos'!I12-'SA8'!I43)/'A6-FinPos'!I34))</f>
        <v>4.1183747866817768</v>
      </c>
      <c r="J14" s="487">
        <f>IF(ISERROR(('A6-FinPos'!J12-'SA8'!J43)/'A6-FinPos'!J34),0,(('A6-FinPos'!J12-'SA8'!J43)/'A6-FinPos'!J34))</f>
        <v>4.1731720227494797</v>
      </c>
      <c r="K14" s="488">
        <f>IF(ISERROR(('A6-FinPos'!K12-'SA8'!K43)/'A6-FinPos'!K34),0,(('A6-FinPos'!K12-'SA8'!K43)/'A6-FinPos'!K34))</f>
        <v>3.9234698576003812</v>
      </c>
      <c r="L14" s="489">
        <f>IF(ISERROR(('A6-FinPos'!L12-'SA8'!L43)/'A6-FinPos'!L34),0,(('A6-FinPos'!L12-'SA8'!L43)/'A6-FinPos'!L34))</f>
        <v>5.5594566607201408</v>
      </c>
    </row>
    <row r="15" spans="1:12" x14ac:dyDescent="0.25">
      <c r="A15" s="477" t="s">
        <v>349</v>
      </c>
      <c r="B15" s="471" t="s">
        <v>897</v>
      </c>
      <c r="C15" s="487">
        <f>IF(ISERROR(('A6-FinPos'!C6+'A6-FinPos'!C7)/'A6-FinPos'!C34),0,(('A6-FinPos'!C6+'A6-FinPos'!C7)/'A6-FinPos'!C34))</f>
        <v>0.24188359837671</v>
      </c>
      <c r="D15" s="488">
        <f>IF(ISERROR(('A6-FinPos'!D6+'A6-FinPos'!D7)/'A6-FinPos'!D34),0,(('A6-FinPos'!D6+'A6-FinPos'!D7)/'A6-FinPos'!D34))</f>
        <v>0.70055314058447815</v>
      </c>
      <c r="E15" s="489">
        <f>IF(ISERROR(('A6-FinPos'!E6+'A6-FinPos'!E7)/'A6-FinPos'!E34),0,(('A6-FinPos'!E6+'A6-FinPos'!E7)/'A6-FinPos'!E34))</f>
        <v>0.75750643877753032</v>
      </c>
      <c r="F15" s="490">
        <f>IF(ISERROR(('A6-FinPos'!F6+'A6-FinPos'!F7)/'A6-FinPos'!F34),0,(('A6-FinPos'!F6+'A6-FinPos'!F7)/'A6-FinPos'!F34))</f>
        <v>1.5206283303596986</v>
      </c>
      <c r="G15" s="488">
        <f>IF(ISERROR(('A6-FinPos'!G6+'A6-FinPos'!G7)/'A6-FinPos'!G34),0,(('A6-FinPos'!G6+'A6-FinPos'!G7)/'A6-FinPos'!G34))</f>
        <v>1.8822735329809481</v>
      </c>
      <c r="H15" s="489">
        <f>IF(ISERROR(('A6-FinPos'!H6+'A6-FinPos'!H7)/'A6-FinPos'!H34),0,(('A6-FinPos'!H6+'A6-FinPos'!H7)/'A6-FinPos'!H34))</f>
        <v>1.8822735329809481</v>
      </c>
      <c r="I15" s="491">
        <f>IF(ISERROR(('A6-FinPos'!I6+'A6-FinPos'!I7)/'A6-FinPos'!I34),0,(('A6-FinPos'!I6+'A6-FinPos'!I7)/'A6-FinPos'!I34))</f>
        <v>1.8822735329809481</v>
      </c>
      <c r="J15" s="487">
        <f>IF(ISERROR(('A6-FinPos'!J6+'A6-FinPos'!J7)/'A6-FinPos'!J34),0,(('A6-FinPos'!J6+'A6-FinPos'!J7)/'A6-FinPos'!J34))</f>
        <v>1.4685617261035353</v>
      </c>
      <c r="K15" s="488">
        <f>IF(ISERROR(('A6-FinPos'!K6+'A6-FinPos'!K7)/'A6-FinPos'!K34),0,(('A6-FinPos'!K6+'A6-FinPos'!K7)/'A6-FinPos'!K34))</f>
        <v>1.4802945039558508</v>
      </c>
      <c r="L15" s="489">
        <f>IF(ISERROR(('A6-FinPos'!L6+'A6-FinPos'!L7)/'A6-FinPos'!L34),0,(('A6-FinPos'!L6+'A6-FinPos'!L7)/'A6-FinPos'!L34))</f>
        <v>3.5850990660672646</v>
      </c>
    </row>
    <row r="16" spans="1:12" x14ac:dyDescent="0.25">
      <c r="A16" s="481" t="s">
        <v>898</v>
      </c>
      <c r="B16" s="471"/>
      <c r="C16" s="492"/>
      <c r="D16" s="493"/>
      <c r="E16" s="494"/>
      <c r="F16" s="495"/>
      <c r="G16" s="493"/>
      <c r="H16" s="494"/>
      <c r="I16" s="496"/>
      <c r="J16" s="492"/>
      <c r="K16" s="493"/>
      <c r="L16" s="494"/>
    </row>
    <row r="17" spans="1:13" ht="21" x14ac:dyDescent="0.25">
      <c r="A17" s="477" t="s">
        <v>899</v>
      </c>
      <c r="B17" s="471" t="s">
        <v>1386</v>
      </c>
      <c r="C17" s="497"/>
      <c r="D17" s="498">
        <f>IF(ISERROR(('A7-CFlow'!C6+'A7-CFlow'!C20+'A7-CFlow'!C21)/(SUM('A4-FinPerf RE'!C5:C12)+'A4-FinPerf RE'!C14+SUM('A4-FinPerf RE'!C16:C18)+'A4-FinPerf RE'!C20)),0,(('A7-CFlow'!C6+'A7-CFlow'!C20+'A7-CFlow'!C21)/(SUM('A4-FinPerf RE'!C5:C12)+'A4-FinPerf RE'!C14+SUM('A4-FinPerf RE'!C16:C18)+'A4-FinPerf RE'!C20)))</f>
        <v>0.88979209433889528</v>
      </c>
      <c r="E17" s="498">
        <f>IF(ISERROR(('A7-CFlow'!D6+'A7-CFlow'!D20+'A7-CFlow'!D21)/(SUM('A4-FinPerf RE'!D5:D12)+'A4-FinPerf RE'!D14+SUM('A4-FinPerf RE'!D16:D18)+'A4-FinPerf RE'!D20)),0,(('A7-CFlow'!D6+'A7-CFlow'!D20+'A7-CFlow'!D21)/(SUM('A4-FinPerf RE'!D5:D12)+'A4-FinPerf RE'!D14+SUM('A4-FinPerf RE'!D16:D18)+'A4-FinPerf RE'!D20)))</f>
        <v>0.94041536124058134</v>
      </c>
      <c r="F17" s="500">
        <f>IF(ISERROR(('A7-CFlow'!E6+'A7-CFlow'!E20+'A7-CFlow'!E21)/(SUM('A4-FinPerf RE'!E5:E12)+'A4-FinPerf RE'!E14+SUM('A4-FinPerf RE'!E16:E18)+'A4-FinPerf RE'!E20)),0,(('A7-CFlow'!E6+'A7-CFlow'!E20+'A7-CFlow'!E21)/(SUM('A4-FinPerf RE'!E5:E12)+'A4-FinPerf RE'!E14+SUM('A4-FinPerf RE'!E16:E18)+'A4-FinPerf RE'!E20)))</f>
        <v>1.0069321299834921</v>
      </c>
      <c r="G17" s="498">
        <f>IF(ISERROR(('A7-CFlow'!F6+'A7-CFlow'!F20+'A7-CFlow'!F21)/(SUM('A4-FinPerf RE'!F5:F12)+'A4-FinPerf RE'!F14+SUM('A4-FinPerf RE'!F16:F18)+'A4-FinPerf RE'!F20)),0,(('A7-CFlow'!F6+'A7-CFlow'!F20+'A7-CFlow'!F21)/(SUM('A4-FinPerf RE'!F5:F12)+'A4-FinPerf RE'!F14+SUM('A4-FinPerf RE'!F16:F18)+'A4-FinPerf RE'!F20)))</f>
        <v>0.90350146617052418</v>
      </c>
      <c r="H17" s="499">
        <f>IF(ISERROR(('A7-CFlow'!G6+'A7-CFlow'!G20+'A7-CFlow'!G21)/(SUM('A4-FinPerf RE'!G5:G12)+'A4-FinPerf RE'!G14+SUM('A4-FinPerf RE'!G16:G18)+'A4-FinPerf RE'!G20)),0,(('A7-CFlow'!G6+'A7-CFlow'!G20+'A7-CFlow'!G21)/(SUM('A4-FinPerf RE'!G5:G12)+'A4-FinPerf RE'!G14+SUM('A4-FinPerf RE'!G16:G18)+'A4-FinPerf RE'!G20)))</f>
        <v>1.1126710513877263</v>
      </c>
      <c r="I17" s="501">
        <f>IF(ISERROR(('A7-CFlow'!H6+'A7-CFlow'!H20+'A7-CFlow'!H21)/(SUM('A4-FinPerf RE'!H5:H12)+'A4-FinPerf RE'!H14+SUM('A4-FinPerf RE'!H16:H18)+'A4-FinPerf RE'!H20)),0,(('A7-CFlow'!H6+'A7-CFlow'!H20+'A7-CFlow'!H21)/(SUM('A4-FinPerf RE'!H5:H12)+'A4-FinPerf RE'!H14+SUM('A4-FinPerf RE'!H16:H18)+'A4-FinPerf RE'!H20)))</f>
        <v>1.1120904723069696</v>
      </c>
      <c r="J17" s="497">
        <f>IF(ISERROR(('A7-CFlow'!I6+'A7-CFlow'!I20+'A7-CFlow'!I21)/(SUM('A4-FinPerf RE'!I5:I12)+'A4-FinPerf RE'!I14+SUM('A4-FinPerf RE'!I16:I18)+'A4-FinPerf RE'!I20)),0,(('A7-CFlow'!I6+'A7-CFlow'!I20+'A7-CFlow'!I21)/(SUM('A4-FinPerf RE'!I5:I12)+'A4-FinPerf RE'!I14+SUM('A4-FinPerf RE'!I16:I18)+'A4-FinPerf RE'!I20)))</f>
        <v>1.1120908846037152</v>
      </c>
      <c r="K17" s="498">
        <f>IF(ISERROR(('A7-CFlow'!J6+'A7-CFlow'!J20+'A7-CFlow'!J21)/(SUM('A4-FinPerf RE'!J5:J12)+'A4-FinPerf RE'!J14+SUM('A4-FinPerf RE'!J16:J18)+'A4-FinPerf RE'!J20)),0,(('A7-CFlow'!J6+'A7-CFlow'!J20+'A7-CFlow'!J21)/(SUM('A4-FinPerf RE'!J5:J12)+'A4-FinPerf RE'!J14+SUM('A4-FinPerf RE'!J16:J18)+'A4-FinPerf RE'!J20)))</f>
        <v>1.0692208969703521</v>
      </c>
      <c r="L17" s="499">
        <f>IF(ISERROR(('A7-CFlow'!K6+'A7-CFlow'!K20+'A7-CFlow'!K21)/(SUM('A4-FinPerf RE'!K5:K12)+'A4-FinPerf RE'!K14+SUM('A4-FinPerf RE'!K16:K18)+'A4-FinPerf RE'!K20)),0,(('A7-CFlow'!K6+'A7-CFlow'!K20+'A7-CFlow'!K21)/(SUM('A4-FinPerf RE'!K5:K12)+'A4-FinPerf RE'!K14+SUM('A4-FinPerf RE'!K16:K18)+'A4-FinPerf RE'!K20)))</f>
        <v>0.94462103077166359</v>
      </c>
    </row>
    <row r="18" spans="1:13" ht="25.5" customHeight="1" x14ac:dyDescent="0.25">
      <c r="A18" s="477" t="s">
        <v>2251</v>
      </c>
      <c r="B18" s="471"/>
      <c r="C18" s="497"/>
      <c r="D18" s="498">
        <f>IF(ISERROR(('A7-CFlow'!C6)/(SUM('A4-FinPerf RE'!C5:C12)+'A4-FinPerf RE'!C14+SUM('A4-FinPerf RE'!C16:C18)+'A4-FinPerf RE'!C20)),0,(('A7-CFlow'!C6)/(SUM('A4-FinPerf RE'!C5:C12)+'A4-FinPerf RE'!C14+SUM('A4-FinPerf RE'!C16:C18)+'A4-FinPerf RE'!C20)))</f>
        <v>0.88956500130891203</v>
      </c>
      <c r="E18" s="501">
        <f>IF(ISERROR(('A7-CFlow'!D6)/(SUM('A4-FinPerf RE'!D5:D12)+'A4-FinPerf RE'!D14+SUM('A4-FinPerf RE'!D16:D18)+'A4-FinPerf RE'!D20)),0,(('A7-CFlow'!D6)/(SUM('A4-FinPerf RE'!D5:D12)+'A4-FinPerf RE'!D14+SUM('A4-FinPerf RE'!D16:D18)+'A4-FinPerf RE'!D20)))</f>
        <v>0.94141647486959179</v>
      </c>
      <c r="F18" s="500">
        <f>IF(ISERROR(('A7-CFlow'!E6)/(SUM('A4-FinPerf RE'!E5:E12)+'A4-FinPerf RE'!E14+SUM('A4-FinPerf RE'!E16:E18)+'A4-FinPerf RE'!E20)),0,(('A7-CFlow'!E6)/(SUM('A4-FinPerf RE'!E5:E12)+'A4-FinPerf RE'!E14+SUM('A4-FinPerf RE'!E16:E18)+'A4-FinPerf RE'!E20)))</f>
        <v>1.1595371722317929</v>
      </c>
      <c r="G18" s="498">
        <f>IF(ISERROR(('A7-CFlow'!F6)/(SUM('A4-FinPerf RE'!F5:F12)+'A4-FinPerf RE'!F14+SUM('A4-FinPerf RE'!F16:F18)+'A4-FinPerf RE'!F20)),0,(('A7-CFlow'!F6)/(SUM('A4-FinPerf RE'!F5:F12)+'A4-FinPerf RE'!F14+SUM('A4-FinPerf RE'!F16:F18)+'A4-FinPerf RE'!F20)))</f>
        <v>0.90410135444897965</v>
      </c>
      <c r="H18" s="499">
        <f>IF(ISERROR(('A7-CFlow'!G6)/(SUM('A4-FinPerf RE'!G5:G12)+'A4-FinPerf RE'!G14+SUM('A4-FinPerf RE'!G16:G18)+'A4-FinPerf RE'!G20)),0,(('A7-CFlow'!G6)/(SUM('A4-FinPerf RE'!G5:G12)+'A4-FinPerf RE'!G14+SUM('A4-FinPerf RE'!G16:G18)+'A4-FinPerf RE'!G20)))</f>
        <v>1.1126710513877263</v>
      </c>
      <c r="I18" s="501">
        <f>IF(ISERROR(('A7-CFlow'!H6)/(SUM('A4-FinPerf RE'!H5:H12)+'A4-FinPerf RE'!H14+SUM('A4-FinPerf RE'!H16:H18)+'A4-FinPerf RE'!H20)),0,(('A7-CFlow'!H6)/(SUM('A4-FinPerf RE'!H5:H12)+'A4-FinPerf RE'!H14+SUM('A4-FinPerf RE'!H16:H18)+'A4-FinPerf RE'!H20)))</f>
        <v>1.1126710513877263</v>
      </c>
      <c r="J18" s="497">
        <f>IF(ISERROR(('A7-CFlow'!I6)/(SUM('A4-FinPerf RE'!I5:I12)+'A4-FinPerf RE'!I14+SUM('A4-FinPerf RE'!I16:I18)+'A4-FinPerf RE'!I20)),0,(('A7-CFlow'!I6)/(SUM('A4-FinPerf RE'!I5:I12)+'A4-FinPerf RE'!I14+SUM('A4-FinPerf RE'!I16:I18)+'A4-FinPerf RE'!I20)))</f>
        <v>1.1126714638997157</v>
      </c>
      <c r="K18" s="498">
        <f>IF(ISERROR(('A7-CFlow'!J6)/(SUM('A4-FinPerf RE'!J5:J12)+'A4-FinPerf RE'!J14+SUM('A4-FinPerf RE'!J16:J18)+'A4-FinPerf RE'!J20)),0,(('A7-CFlow'!J6)/(SUM('A4-FinPerf RE'!J5:J12)+'A4-FinPerf RE'!J14+SUM('A4-FinPerf RE'!J16:J18)+'A4-FinPerf RE'!J20)))</f>
        <v>1.0693679652982286</v>
      </c>
      <c r="L18" s="499">
        <f>IF(ISERROR(('A7-CFlow'!K6)/(SUM('A4-FinPerf RE'!K5:K12)+'A4-FinPerf RE'!K14+SUM('A4-FinPerf RE'!K16:K18)+'A4-FinPerf RE'!K20)),0,(('A7-CFlow'!K6)/(SUM('A4-FinPerf RE'!K5:K12)+'A4-FinPerf RE'!K14+SUM('A4-FinPerf RE'!K16:K18)+'A4-FinPerf RE'!K20)))</f>
        <v>0.94475304452379638</v>
      </c>
    </row>
    <row r="19" spans="1:13" ht="21" x14ac:dyDescent="0.25">
      <c r="A19" s="477" t="s">
        <v>489</v>
      </c>
      <c r="B19" s="471" t="s">
        <v>1357</v>
      </c>
      <c r="C19" s="472">
        <f>IF(ISERROR(('A6-FinPos'!C8+'A6-FinPos'!C9+'A6-FinPos'!C10+'A6-FinPos'!C15)/'A4-FinPerf RE'!C22),0,(('A6-FinPos'!C8+'A6-FinPos'!C9+'A6-FinPos'!C10+'A6-FinPos'!C15)/'A4-FinPerf RE'!C22))</f>
        <v>9.6419252275693437E-2</v>
      </c>
      <c r="D19" s="473">
        <f>IF(ISERROR(('A6-FinPos'!D8+'A6-FinPos'!D9+'A6-FinPos'!D10+'A6-FinPos'!D15)/'A4-FinPerf RE'!D22),0,(('A6-FinPos'!D8+'A6-FinPos'!D9+'A6-FinPos'!D10+'A6-FinPos'!D15)/'A4-FinPerf RE'!D22))</f>
        <v>8.3209361848139166E-2</v>
      </c>
      <c r="E19" s="474">
        <f>IF(ISERROR(('A6-FinPos'!E8+'A6-FinPos'!E9+'A6-FinPos'!E10+'A6-FinPos'!E15)/'A4-FinPerf RE'!E22),0,(('A6-FinPos'!E8+'A6-FinPos'!E9+'A6-FinPos'!E10+'A6-FinPos'!E15)/'A4-FinPerf RE'!E22))</f>
        <v>0.19422946513577152</v>
      </c>
      <c r="F19" s="475">
        <f>IF(ISERROR(('A6-FinPos'!F8+'A6-FinPos'!F9+'A6-FinPos'!F10+'A6-FinPos'!F15)/'A4-FinPerf RE'!F22),0,(('A6-FinPos'!F8+'A6-FinPos'!F9+'A6-FinPos'!F10+'A6-FinPos'!F15)/'A4-FinPerf RE'!F22))</f>
        <v>0.26685259565025443</v>
      </c>
      <c r="G19" s="473">
        <f>IF(ISERROR(('A6-FinPos'!G8+'A6-FinPos'!G9+'A6-FinPos'!G10+'A6-FinPos'!G15)/'A4-FinPerf RE'!G22),0,(('A6-FinPos'!G8+'A6-FinPos'!G9+'A6-FinPos'!G10+'A6-FinPos'!G15)/'A4-FinPerf RE'!G22))</f>
        <v>0.25407632523262269</v>
      </c>
      <c r="H19" s="474">
        <f>IF(ISERROR(('A6-FinPos'!H8+'A6-FinPos'!H9+'A6-FinPos'!H10+'A6-FinPos'!H15)/'A4-FinPerf RE'!H22),0,(('A6-FinPos'!H8+'A6-FinPos'!H9+'A6-FinPos'!H10+'A6-FinPos'!H15)/'A4-FinPerf RE'!H22))</f>
        <v>0.25407632523262269</v>
      </c>
      <c r="I19" s="476">
        <f>IF(ISERROR(('A6-FinPos'!I8+'A6-FinPos'!I9+'A6-FinPos'!I10+'A6-FinPos'!I15)/'A4-FinPerf RE'!I22),0,(('A6-FinPos'!I8+'A6-FinPos'!I9+'A6-FinPos'!I10+'A6-FinPos'!I15)/'A4-FinPerf RE'!I22))</f>
        <v>0.25407636174864728</v>
      </c>
      <c r="J19" s="472">
        <f>IF(ISERROR(('A6-FinPos'!J8+'A6-FinPos'!J9+'A6-FinPos'!J10+'A6-FinPos'!J15)/'A4-FinPerf RE'!J22),0,(('A6-FinPos'!J8+'A6-FinPos'!J9+'A6-FinPos'!J10+'A6-FinPos'!J15)/'A4-FinPerf RE'!J22))</f>
        <v>0.30042366792622921</v>
      </c>
      <c r="K19" s="473">
        <f>IF(ISERROR(('A6-FinPos'!K8+'A6-FinPos'!K9+'A6-FinPos'!K10+'A6-FinPos'!K15)/'A4-FinPerf RE'!K22),0,(('A6-FinPos'!K8+'A6-FinPos'!K9+'A6-FinPos'!K10+'A6-FinPos'!K15)/'A4-FinPerf RE'!K22))</f>
        <v>0.26719732501869192</v>
      </c>
      <c r="L19" s="474">
        <f>IF(ISERROR(('A6-FinPos'!L8+'A6-FinPos'!L9+'A6-FinPos'!L10+'A6-FinPos'!L15)/'A4-FinPerf RE'!L22),0,(('A6-FinPos'!L8+'A6-FinPos'!L9+'A6-FinPos'!L10+'A6-FinPos'!L15)/'A4-FinPerf RE'!L22))</f>
        <v>0.20814763155174743</v>
      </c>
    </row>
    <row r="20" spans="1:13" ht="21" x14ac:dyDescent="0.25">
      <c r="A20" s="477" t="s">
        <v>1714</v>
      </c>
      <c r="B20" s="471" t="s">
        <v>562</v>
      </c>
      <c r="C20" s="1764"/>
      <c r="D20" s="1765"/>
      <c r="E20" s="1705"/>
      <c r="F20" s="1766"/>
      <c r="G20" s="1765"/>
      <c r="H20" s="1705"/>
      <c r="I20" s="1767"/>
      <c r="J20" s="1764"/>
      <c r="K20" s="1765"/>
      <c r="L20" s="1705"/>
    </row>
    <row r="21" spans="1:13" x14ac:dyDescent="0.25">
      <c r="A21" s="481" t="s">
        <v>789</v>
      </c>
      <c r="B21" s="471"/>
      <c r="C21" s="482"/>
      <c r="D21" s="483"/>
      <c r="E21" s="484"/>
      <c r="F21" s="485"/>
      <c r="G21" s="483"/>
      <c r="H21" s="484"/>
      <c r="I21" s="486"/>
      <c r="J21" s="482"/>
      <c r="K21" s="483"/>
      <c r="L21" s="484"/>
    </row>
    <row r="22" spans="1:13" ht="24.75" customHeight="1" x14ac:dyDescent="0.25">
      <c r="A22" s="477" t="s">
        <v>790</v>
      </c>
      <c r="B22" s="471" t="s">
        <v>338</v>
      </c>
      <c r="C22" s="1764"/>
      <c r="D22" s="1765"/>
      <c r="E22" s="1705"/>
      <c r="F22" s="1766"/>
      <c r="G22" s="1765"/>
      <c r="H22" s="1705"/>
      <c r="I22" s="1767"/>
      <c r="J22" s="1764"/>
      <c r="K22" s="1765"/>
      <c r="L22" s="1705"/>
    </row>
    <row r="23" spans="1:13" x14ac:dyDescent="0.25">
      <c r="A23" s="477" t="s">
        <v>2215</v>
      </c>
      <c r="B23" s="471"/>
      <c r="C23" s="497">
        <f>IF(ISERROR('SA3'!C35/'A7-CFlow'!C38), 0, ('SA3'!C35/'A7-CFlow'!C38))</f>
        <v>0.79598812158609955</v>
      </c>
      <c r="D23" s="498">
        <f>IF(ISERROR('SA3'!D35/'A7-CFlow'!D38), 0, ('SA3'!D35/'A7-CFlow'!D38))</f>
        <v>0.58694249005590837</v>
      </c>
      <c r="E23" s="499">
        <f>IF(ISERROR('SA3'!E35/'A7-CFlow'!E38), 0, ('SA3'!E35/'A7-CFlow'!E38))</f>
        <v>0.49639277892114092</v>
      </c>
      <c r="F23" s="500">
        <f>IF(ISERROR('SA3'!F35/'A7-CFlow'!F38), 0, ('SA3'!F35/'A7-CFlow'!F38))</f>
        <v>0.35840850609112862</v>
      </c>
      <c r="G23" s="498">
        <f>IF(ISERROR('SA3'!G35/'A7-CFlow'!G38), 0, ('SA3'!G35/'A7-CFlow'!G38))</f>
        <v>0.28325412519020926</v>
      </c>
      <c r="H23" s="499">
        <f>IF(ISERROR('SA3'!H35/'A7-CFlow'!H38), 0, ('SA3'!H35/'A7-CFlow'!H38))</f>
        <v>0.28302253696093771</v>
      </c>
      <c r="I23" s="501">
        <f>IF(ISERROR('SA3'!I35/'A7-CFlow'!I38), 0, ('SA3'!I35/'A7-CFlow'!I38))</f>
        <v>0.28302253696093771</v>
      </c>
      <c r="J23" s="497">
        <f>IF(ISERROR('SA3'!J35/'A7-CFlow'!J38), 0, ('SA3'!J35/'A7-CFlow'!J38))</f>
        <v>0.30181389655711233</v>
      </c>
      <c r="K23" s="498">
        <f>IF(ISERROR('SA3'!K35/'A7-CFlow'!K38), 0, ('SA3'!K35/'A7-CFlow'!K38))</f>
        <v>0.26942970635791946</v>
      </c>
      <c r="L23" s="499">
        <f>IF(ISERROR('SA3'!L35/'A7-CFlow'!L38), 0, ('SA3'!L35/'A7-CFlow'!L38))</f>
        <v>0.2339092779821943</v>
      </c>
      <c r="M23" s="370"/>
    </row>
    <row r="24" spans="1:13" ht="8.25" customHeight="1" x14ac:dyDescent="0.25">
      <c r="A24" s="477"/>
      <c r="B24" s="471"/>
      <c r="C24" s="1768"/>
      <c r="D24" s="1769"/>
      <c r="E24" s="1770"/>
      <c r="F24" s="1771"/>
      <c r="G24" s="1769"/>
      <c r="H24" s="1770"/>
      <c r="I24" s="1772"/>
      <c r="J24" s="1768"/>
      <c r="K24" s="1769"/>
      <c r="L24" s="1770"/>
      <c r="M24" s="370"/>
    </row>
    <row r="25" spans="1:13" x14ac:dyDescent="0.25">
      <c r="A25" s="481" t="s">
        <v>791</v>
      </c>
      <c r="B25" s="471"/>
      <c r="C25" s="482"/>
      <c r="D25" s="483"/>
      <c r="E25" s="484"/>
      <c r="F25" s="485"/>
      <c r="G25" s="483"/>
      <c r="H25" s="484"/>
      <c r="I25" s="486"/>
      <c r="J25" s="482"/>
      <c r="K25" s="483"/>
      <c r="L25" s="484"/>
      <c r="M25" s="370"/>
    </row>
    <row r="26" spans="1:13" ht="21" customHeight="1" x14ac:dyDescent="0.25">
      <c r="A26" s="2715" t="s">
        <v>341</v>
      </c>
      <c r="B26" s="1354" t="s">
        <v>2279</v>
      </c>
      <c r="C26" s="2562"/>
      <c r="D26" s="2563"/>
      <c r="E26" s="2564"/>
      <c r="F26" s="2565"/>
      <c r="G26" s="2563"/>
      <c r="H26" s="2564"/>
      <c r="I26" s="2564"/>
      <c r="J26" s="2566"/>
      <c r="K26" s="2563"/>
      <c r="L26" s="2564"/>
    </row>
    <row r="27" spans="1:13" ht="21" customHeight="1" x14ac:dyDescent="0.25">
      <c r="A27" s="2715"/>
      <c r="B27" s="1354" t="s">
        <v>2278</v>
      </c>
      <c r="C27" s="1627"/>
      <c r="D27" s="1627"/>
      <c r="E27" s="1632"/>
      <c r="F27" s="2567"/>
      <c r="G27" s="1627"/>
      <c r="H27" s="1632"/>
      <c r="I27" s="1628"/>
      <c r="J27" s="2567"/>
      <c r="K27" s="1627"/>
      <c r="L27" s="1632"/>
    </row>
    <row r="28" spans="1:13" ht="21" customHeight="1" x14ac:dyDescent="0.25">
      <c r="A28" s="2715" t="s">
        <v>1285</v>
      </c>
      <c r="B28" s="1354" t="s">
        <v>2280</v>
      </c>
      <c r="C28" s="2562"/>
      <c r="D28" s="2563"/>
      <c r="E28" s="2564"/>
      <c r="F28" s="2565"/>
      <c r="G28" s="2563"/>
      <c r="H28" s="2564"/>
      <c r="I28" s="2564"/>
      <c r="J28" s="2566"/>
      <c r="K28" s="2563"/>
      <c r="L28" s="2564"/>
    </row>
    <row r="29" spans="1:13" ht="21" customHeight="1" x14ac:dyDescent="0.25">
      <c r="A29" s="2715"/>
      <c r="B29" s="1354" t="s">
        <v>2278</v>
      </c>
      <c r="C29" s="1627"/>
      <c r="D29" s="1627"/>
      <c r="E29" s="1632"/>
      <c r="F29" s="2567"/>
      <c r="G29" s="1627"/>
      <c r="H29" s="1632"/>
      <c r="I29" s="1628"/>
      <c r="J29" s="2567"/>
      <c r="K29" s="1627"/>
      <c r="L29" s="1632"/>
    </row>
    <row r="30" spans="1:13" ht="21" x14ac:dyDescent="0.25">
      <c r="A30" s="477" t="s">
        <v>492</v>
      </c>
      <c r="B30" s="471" t="s">
        <v>1652</v>
      </c>
      <c r="C30" s="497">
        <f>IF(ISERROR('A4-FinPerf RE'!C25/'A4-FinPerf RE'!C22),0,('A4-FinPerf RE'!C25/'A4-FinPerf RE'!C22))</f>
        <v>0.2442050934342378</v>
      </c>
      <c r="D30" s="498">
        <f>IF(ISERROR('A4-FinPerf RE'!D25/'A4-FinPerf RE'!D22),0,('A4-FinPerf RE'!D25/'A4-FinPerf RE'!D22))</f>
        <v>0.21928909538994676</v>
      </c>
      <c r="E30" s="499">
        <f>IF(ISERROR('A4-FinPerf RE'!E25/'A4-FinPerf RE'!E22),0,('A4-FinPerf RE'!E25/'A4-FinPerf RE'!E22))</f>
        <v>0.23071271957308573</v>
      </c>
      <c r="F30" s="500">
        <f>IF(ISERROR('A4-FinPerf RE'!F25/'A4-FinPerf RE'!F22),0,('A4-FinPerf RE'!F25/'A4-FinPerf RE'!F22))</f>
        <v>0.23877692046842774</v>
      </c>
      <c r="G30" s="498">
        <f>IF(ISERROR('A4-FinPerf RE'!G25/'A4-FinPerf RE'!G22),0,('A4-FinPerf RE'!G25/'A4-FinPerf RE'!G22))</f>
        <v>0.23324430497561319</v>
      </c>
      <c r="H30" s="499">
        <f>IF(ISERROR('A4-FinPerf RE'!H25/'A4-FinPerf RE'!H22),0,('A4-FinPerf RE'!H25/'A4-FinPerf RE'!H22))</f>
        <v>0.23324430497561319</v>
      </c>
      <c r="I30" s="501">
        <f>IF(ISERROR('A4-FinPerf RE'!I25/'A4-FinPerf RE'!I22),0,('A4-FinPerf RE'!I25/'A4-FinPerf RE'!I22))</f>
        <v>0.23324433849764548</v>
      </c>
      <c r="J30" s="497">
        <f>IF(ISERROR('A4-FinPerf RE'!J25/'A4-FinPerf RE'!J22),0,('A4-FinPerf RE'!J25/'A4-FinPerf RE'!J22))</f>
        <v>0.21766368172032116</v>
      </c>
      <c r="K30" s="498">
        <f>IF(ISERROR('A4-FinPerf RE'!K25/'A4-FinPerf RE'!K22),0,('A4-FinPerf RE'!K25/'A4-FinPerf RE'!K22))</f>
        <v>0.22007170248166755</v>
      </c>
      <c r="L30" s="499">
        <f>IF(ISERROR('A4-FinPerf RE'!L25/'A4-FinPerf RE'!L22),0,('A4-FinPerf RE'!L25/'A4-FinPerf RE'!L22))</f>
        <v>0.21254717046192204</v>
      </c>
    </row>
    <row r="31" spans="1:13" ht="21" x14ac:dyDescent="0.25">
      <c r="A31" s="477" t="s">
        <v>724</v>
      </c>
      <c r="B31" s="471" t="s">
        <v>725</v>
      </c>
      <c r="C31" s="497">
        <f>IF(ISERROR('SA22'!C102/'A4-FinPerf RE'!C22),0,('SA22'!C102/'A4-FinPerf RE'!C22))</f>
        <v>0.20988817668207299</v>
      </c>
      <c r="D31" s="498">
        <f>IF(ISERROR('SA22'!D102/'A4-FinPerf RE'!D22),0,('SA22'!D102/'A4-FinPerf RE'!D22))</f>
        <v>0.21781575847704884</v>
      </c>
      <c r="E31" s="499">
        <f>IF(ISERROR('SA22'!E102/'A4-FinPerf RE'!E22),0,('SA22'!E102/'A4-FinPerf RE'!E22))</f>
        <v>0.22020256156460905</v>
      </c>
      <c r="F31" s="500">
        <f>IF(ISERROR('SA22'!F102/'A4-FinPerf RE'!F22),0,('SA22'!F102/'A4-FinPerf RE'!F22))</f>
        <v>0.25015656878990156</v>
      </c>
      <c r="G31" s="498">
        <f>IF(ISERROR('SA22'!G102/'A4-FinPerf RE'!G22),0,('SA22'!G102/'A4-FinPerf RE'!G22))</f>
        <v>1.6734426105374827E-2</v>
      </c>
      <c r="H31" s="499">
        <f>IF(ISERROR('SA22'!H102/'A4-FinPerf RE'!H22),0,('SA22'!H102/'A4-FinPerf RE'!H22))</f>
        <v>0.24397364305578395</v>
      </c>
      <c r="I31" s="501"/>
      <c r="J31" s="497">
        <f>IF(ISERROR('SA22'!I102/'A4-FinPerf RE'!J22),0,('SA22'!I102/'A4-FinPerf RE'!J22))</f>
        <v>0.22723485889905515</v>
      </c>
      <c r="K31" s="498">
        <f>IF(ISERROR('SA22'!J102/'A4-FinPerf RE'!K22),0,('SA22'!J102/'A4-FinPerf RE'!K22))</f>
        <v>0.23519268126358997</v>
      </c>
      <c r="L31" s="499">
        <f>IF(ISERROR('SA22'!K102/'A4-FinPerf RE'!L22),0,('SA22'!K102/'A4-FinPerf RE'!L22))</f>
        <v>0.22786714313824094</v>
      </c>
    </row>
    <row r="32" spans="1:13" ht="21" x14ac:dyDescent="0.25">
      <c r="A32" s="477" t="s">
        <v>597</v>
      </c>
      <c r="B32" s="471" t="s">
        <v>598</v>
      </c>
      <c r="C32" s="498">
        <f>IF(ISERROR('A9-Asset'!C69/'A4-FinPerf RE'!C22),0,('A9-Asset'!C69/'A4-FinPerf RE'!C22))</f>
        <v>4.5885504151419593E-2</v>
      </c>
      <c r="D32" s="498">
        <f>IF(ISERROR('A9-Asset'!D69/'A4-FinPerf RE'!D22),0,('A9-Asset'!D69/'A4-FinPerf RE'!D22))</f>
        <v>2.2621736040014599E-2</v>
      </c>
      <c r="E32" s="499">
        <f>IF(ISERROR('A9-Asset'!E69/'A4-FinPerf RE'!E22),0,('A9-Asset'!E69/'A4-FinPerf RE'!E22))</f>
        <v>1.3682705489331809E-2</v>
      </c>
      <c r="F32" s="500">
        <f>IF(ISERROR('A9-Asset'!F69/'A4-FinPerf RE'!F22),0,('A9-Asset'!F69/'A4-FinPerf RE'!F22))</f>
        <v>2.9849938461222858E-2</v>
      </c>
      <c r="G32" s="498">
        <f>IF(ISERROR('A9-Asset'!G69/'A4-FinPerf RE'!G22),0,('A9-Asset'!G69/'A4-FinPerf RE'!G22))</f>
        <v>2.8453597772276355E-2</v>
      </c>
      <c r="H32" s="499">
        <f>IF(ISERROR('A9-Asset'!H69/'A4-FinPerf RE'!H22),0,('A9-Asset'!H69/'A4-FinPerf RE'!H22))</f>
        <v>2.8453656089088678E-2</v>
      </c>
      <c r="I32" s="501"/>
      <c r="J32" s="497">
        <f>IF(ISERROR('A9-Asset'!I69/'A4-FinPerf RE'!J22),0,('A9-Asset'!I69/'A4-FinPerf RE'!J22))</f>
        <v>2.6921687537651666E-2</v>
      </c>
      <c r="K32" s="498">
        <f>IF(ISERROR('A9-Asset'!J69/'A4-FinPerf RE'!K22),0,('A9-Asset'!J69/'A4-FinPerf RE'!K22))</f>
        <v>2.6767351367908386E-2</v>
      </c>
      <c r="L32" s="2162">
        <f>IF(ISERROR('A9-Asset'!K69/'A4-FinPerf RE'!L22),0,('A9-Asset'!K69/'A4-FinPerf RE'!L22))</f>
        <v>3.226903387424955E-2</v>
      </c>
    </row>
    <row r="33" spans="1:13" x14ac:dyDescent="0.25">
      <c r="A33" s="477" t="s">
        <v>1436</v>
      </c>
      <c r="B33" s="471" t="s">
        <v>599</v>
      </c>
      <c r="C33" s="497">
        <f>IF(ISERROR(('A4-FinPerf RE'!C29+'A4-FinPerf RE'!C28)/'A4-FinPerf RE'!C22),0,(('A4-FinPerf RE'!C29+'A4-FinPerf RE'!C28)/'A4-FinPerf RE'!C22))</f>
        <v>7.7388331922949666E-2</v>
      </c>
      <c r="D33" s="498">
        <f>IF(ISERROR(('A4-FinPerf RE'!D29+'A4-FinPerf RE'!D28)/'A4-FinPerf RE'!D22),0,(('A4-FinPerf RE'!D29+'A4-FinPerf RE'!D28)/'A4-FinPerf RE'!D22))</f>
        <v>0.11202053195322188</v>
      </c>
      <c r="E33" s="499">
        <f>IF(ISERROR(('A4-FinPerf RE'!E29+'A4-FinPerf RE'!E28)/'A4-FinPerf RE'!E22),0,(('A4-FinPerf RE'!E29+'A4-FinPerf RE'!E28)/'A4-FinPerf RE'!E22))</f>
        <v>0.1060666600469691</v>
      </c>
      <c r="F33" s="500">
        <f>IF(ISERROR(('A4-FinPerf RE'!F29+'A4-FinPerf RE'!F28)/'A4-FinPerf RE'!F22),0,(('A4-FinPerf RE'!F29+'A4-FinPerf RE'!F28)/'A4-FinPerf RE'!F22))</f>
        <v>7.8820798568576378E-2</v>
      </c>
      <c r="G33" s="498">
        <f>IF(ISERROR(('A4-FinPerf RE'!G29+'A4-FinPerf RE'!G28)/'A4-FinPerf RE'!G22),0,(('A4-FinPerf RE'!G29+'A4-FinPerf RE'!G28)/'A4-FinPerf RE'!G22))</f>
        <v>7.2921724196198842E-2</v>
      </c>
      <c r="H33" s="499">
        <f>IF(ISERROR(('A4-FinPerf RE'!H29+'A4-FinPerf RE'!H28)/'A4-FinPerf RE'!H22),0,(('A4-FinPerf RE'!H29+'A4-FinPerf RE'!H28)/'A4-FinPerf RE'!H22))</f>
        <v>7.2921724196198842E-2</v>
      </c>
      <c r="I33" s="501">
        <f>IF(ISERROR(('A4-FinPerf RE'!I29+'A4-FinPerf RE'!I28)/'A4-FinPerf RE'!I22),0,(('A4-FinPerf RE'!I29+'A4-FinPerf RE'!I28)/'A4-FinPerf RE'!I22))</f>
        <v>7.2921734676559297E-2</v>
      </c>
      <c r="J33" s="497">
        <f>IF(ISERROR(('A4-FinPerf RE'!J29+'A4-FinPerf RE'!J28)/'A4-FinPerf RE'!J22),0,(('A4-FinPerf RE'!J29+'A4-FinPerf RE'!J28)/'A4-FinPerf RE'!J22))</f>
        <v>7.1799507033962137E-2</v>
      </c>
      <c r="K33" s="498">
        <f>IF(ISERROR(('A4-FinPerf RE'!K29+'A4-FinPerf RE'!K28)/'A4-FinPerf RE'!K22),0,(('A4-FinPerf RE'!K29+'A4-FinPerf RE'!K28)/'A4-FinPerf RE'!K22))</f>
        <v>7.7037391864369142E-2</v>
      </c>
      <c r="L33" s="499">
        <f>IF(ISERROR(('A4-FinPerf RE'!L29+'A4-FinPerf RE'!L28)/'A4-FinPerf RE'!L22),0,(('A4-FinPerf RE'!L29+'A4-FinPerf RE'!L28)/'A4-FinPerf RE'!L22))</f>
        <v>8.0795402682533768E-2</v>
      </c>
    </row>
    <row r="34" spans="1:13" x14ac:dyDescent="0.25">
      <c r="A34" s="502" t="s">
        <v>1635</v>
      </c>
      <c r="B34" s="503"/>
      <c r="C34" s="504"/>
      <c r="D34" s="505"/>
      <c r="E34" s="506"/>
      <c r="F34" s="507"/>
      <c r="G34" s="505"/>
      <c r="H34" s="506"/>
      <c r="I34" s="508"/>
      <c r="J34" s="504"/>
      <c r="K34" s="505"/>
      <c r="L34" s="506"/>
    </row>
    <row r="35" spans="1:13" ht="31.5" x14ac:dyDescent="0.25">
      <c r="A35" s="477" t="s">
        <v>1636</v>
      </c>
      <c r="B35" s="471" t="s">
        <v>1715</v>
      </c>
      <c r="C35" s="487">
        <f>IF(ISERROR(('A4-FinPerf RE'!C22-'A4-FinPerf RE'!C19)/('A7-CFlow'!D9-'A7-CFlow'!D33)),0,(('A4-FinPerf RE'!C22-'A4-FinPerf RE'!C19)/('A7-CFlow'!D9-'A7-CFlow'!D33)))</f>
        <v>42.875795444699172</v>
      </c>
      <c r="D35" s="488">
        <f>IF(ISERROR(('A4-FinPerf RE'!D22-'A4-FinPerf RE'!D19)/('A7-CFlow'!E9-'A7-CFlow'!E33)),0,(('A4-FinPerf RE'!D22-'A4-FinPerf RE'!D19)/('A7-CFlow'!E9-'A7-CFlow'!E33)))</f>
        <v>17.786819228706779</v>
      </c>
      <c r="E35" s="489">
        <f>IF(ISERROR(('A4-FinPerf RE'!E22-'A4-FinPerf RE'!E19)/('A7-CFlow'!F9-'A7-CFlow'!F33)),0,(('A4-FinPerf RE'!E22-'A4-FinPerf RE'!E19)/('A7-CFlow'!F9-'A7-CFlow'!F33)))</f>
        <v>-312.87127683837986</v>
      </c>
      <c r="F35" s="490">
        <f>IF(ISERROR(('A4-FinPerf RE'!F22-'A4-FinPerf RE'!F19)/('A7-CFlow'!G9-'A7-CFlow'!G33)),0,(('A4-FinPerf RE'!F22-'A4-FinPerf RE'!F19)/('A7-CFlow'!G9-'A7-CFlow'!G33)))</f>
        <v>-1910.9961039749842</v>
      </c>
      <c r="G35" s="488">
        <f>F35</f>
        <v>-1910.9961039749842</v>
      </c>
      <c r="H35" s="489">
        <f>G35</f>
        <v>-1910.9961039749842</v>
      </c>
      <c r="I35" s="491">
        <f>IF(ISERROR(('A4-FinPerf RE'!I22-'A4-FinPerf RE'!I19)/('A7-CFlow'!J9-'A7-CFlow'!J33)),0,(('A4-FinPerf RE'!I22-'A4-FinPerf RE'!I19)/('A7-CFlow'!J9-'A7-CFlow'!J33)))</f>
        <v>-142.26321976007125</v>
      </c>
      <c r="J35" s="487">
        <f>IF(ISERROR(('A4-FinPerf RE'!J22-'A4-FinPerf RE'!J19)/('A7-CFlow'!K9-'A7-CFlow'!K33)),0,(('A4-FinPerf RE'!J22-'A4-FinPerf RE'!J19)/('A7-CFlow'!K9-'A7-CFlow'!K33)))</f>
        <v>-78.017278510075087</v>
      </c>
      <c r="K35" s="488">
        <f>IF(ISERROR(('A4-FinPerf RE'!K22-'A4-FinPerf RE'!K19)/('A7-CFlow'!L9-'A7-CFlow'!L33)),0,(('A4-FinPerf RE'!K22-'A4-FinPerf RE'!K19)/('A7-CFlow'!L9-'A7-CFlow'!L33)))</f>
        <v>-11.574005722941644</v>
      </c>
      <c r="L35" s="489">
        <f>IF(ISERROR(('A4-FinPerf RE'!L22-'A4-FinPerf RE'!L19)/('A7-CFlow'!L9-'A7-CFlow'!L33)),0,(('A4-FinPerf RE'!L22-'A4-FinPerf RE'!L19)/('A7-CFlow'!L9-'A7-CFlow'!L33)))</f>
        <v>-12.55595647980385</v>
      </c>
    </row>
    <row r="36" spans="1:13" ht="21" x14ac:dyDescent="0.25">
      <c r="A36" s="477" t="s">
        <v>1637</v>
      </c>
      <c r="B36" s="471" t="s">
        <v>746</v>
      </c>
      <c r="C36" s="497">
        <f>IF(ISERROR(('A6-FinPos'!C8+'A6-FinPos'!C9+'A6-FinPos'!C10)/SUM('A4-FinPerf RE'!C5:C12)),0,(('A6-FinPos'!C8+'A6-FinPos'!C9+'A6-FinPos'!C10)/SUM('A4-FinPerf RE'!C5:C12)))</f>
        <v>0.15376556508763942</v>
      </c>
      <c r="D36" s="498">
        <f>IF(ISERROR(('A6-FinPos'!D8+'A6-FinPos'!D9+'A6-FinPos'!D10)/SUM('A4-FinPerf RE'!D5:D12)),0,(('A6-FinPos'!D8+'A6-FinPos'!D9+'A6-FinPos'!D10)/SUM('A4-FinPerf RE'!D5:D12)))</f>
        <v>0.12436463462542924</v>
      </c>
      <c r="E36" s="499">
        <f>IF(ISERROR(('A6-FinPos'!E8+'A6-FinPos'!E9+'A6-FinPos'!E10)/SUM('A4-FinPerf RE'!E5:E12)),0,(('A6-FinPos'!E8+'A6-FinPos'!E9+'A6-FinPos'!E10)/SUM('A4-FinPerf RE'!E5:E12)))</f>
        <v>0.25115290006880642</v>
      </c>
      <c r="F36" s="500">
        <f>IF(ISERROR(('A6-FinPos'!F8+'A6-FinPos'!F9+'A6-FinPos'!F10)/SUM('A4-FinPerf RE'!F5:F12)),0,(('A6-FinPos'!F8+'A6-FinPos'!F9+'A6-FinPos'!F10)/SUM('A4-FinPerf RE'!F5:F12)))</f>
        <v>0.30872415721199808</v>
      </c>
      <c r="G36" s="498">
        <f>IF(ISERROR(('A6-FinPos'!G8+'A6-FinPos'!G9+'A6-FinPos'!G10)/SUM('A4-FinPerf RE'!G5:G12)),0,(('A6-FinPos'!G8+'A6-FinPos'!G9+'A6-FinPos'!G10)/SUM('A4-FinPerf RE'!G5:G12)))</f>
        <v>0.3032035659231046</v>
      </c>
      <c r="H36" s="499">
        <f>IF(ISERROR(('A6-FinPos'!H8+'A6-FinPos'!H9+'A6-FinPos'!H10)/SUM('A4-FinPerf RE'!H5:H12)),0,(('A6-FinPos'!H8+'A6-FinPos'!H9+'A6-FinPos'!H10)/SUM('A4-FinPerf RE'!H5:H12)))</f>
        <v>0.3032035659231046</v>
      </c>
      <c r="I36" s="501">
        <f>IF(ISERROR(('A6-FinPos'!I8+'A6-FinPos'!I9+'A6-FinPos'!I10)/SUM('A4-FinPerf RE'!I5:I12)),0,(('A6-FinPos'!I8+'A6-FinPos'!I9+'A6-FinPos'!I10)/SUM('A4-FinPerf RE'!I5:I12)))</f>
        <v>0.30320368239106099</v>
      </c>
      <c r="J36" s="497">
        <f>IF(ISERROR(('A6-FinPos'!J8+'A6-FinPos'!J9+'A6-FinPos'!J10)/SUM('A4-FinPerf RE'!J5:J12)),0,(('A6-FinPos'!J8+'A6-FinPos'!J9+'A6-FinPos'!J10)/SUM('A4-FinPerf RE'!J5:J12)))</f>
        <v>0.3750121041011823</v>
      </c>
      <c r="K36" s="498">
        <f>IF(ISERROR(('A6-FinPos'!K8+'A6-FinPos'!K9+'A6-FinPos'!K10)/SUM('A4-FinPerf RE'!K5:K12)),0,(('A6-FinPos'!K8+'A6-FinPos'!K9+'A6-FinPos'!K10)/SUM('A4-FinPerf RE'!K5:K12)))</f>
        <v>0.3225744537868136</v>
      </c>
      <c r="L36" s="499">
        <f>IF(ISERROR(('A6-FinPos'!L8+'A6-FinPos'!L9+'A6-FinPos'!L10)/SUM('A4-FinPerf RE'!L5:L12)),0,(('A6-FinPos'!L8+'A6-FinPos'!L9+'A6-FinPos'!L10)/SUM('A4-FinPerf RE'!L5:L12)))</f>
        <v>0.25135437147223927</v>
      </c>
    </row>
    <row r="37" spans="1:13" ht="21" x14ac:dyDescent="0.25">
      <c r="A37" s="509" t="s">
        <v>1638</v>
      </c>
      <c r="B37" s="510" t="s">
        <v>1546</v>
      </c>
      <c r="C37" s="511">
        <f>IF(ISERROR('A7-CFlow'!C38/'SA8'!C44),0,('A7-CFlow'!C38/'SA8'!C44))</f>
        <v>2.6088383033661233</v>
      </c>
      <c r="D37" s="512">
        <f>IF(ISERROR('A7-CFlow'!D38/'SA8'!D44),0,('A7-CFlow'!D38/'SA8'!D44))</f>
        <v>3.5552958404189936</v>
      </c>
      <c r="E37" s="513">
        <f>IF(ISERROR('A7-CFlow'!E38/'SA8'!E44),0,('A7-CFlow'!E38/'SA8'!E44))</f>
        <v>5.0866054447744844</v>
      </c>
      <c r="F37" s="514">
        <f>IF(ISERROR('A7-CFlow'!F38/'SA8'!F44),0,('A7-CFlow'!F38/'SA8'!F44))</f>
        <v>2.3081025700902407</v>
      </c>
      <c r="G37" s="512">
        <f>IF(ISERROR('A7-CFlow'!G38/'SA8'!G44),0,('A7-CFlow'!G38/'SA8'!G44))</f>
        <v>2.8299283938052753</v>
      </c>
      <c r="H37" s="513">
        <f>IF(ISERROR('A7-CFlow'!H38/'SA8'!H44),0,('A7-CFlow'!H38/'SA8'!H44))</f>
        <v>2.8322455530873265</v>
      </c>
      <c r="I37" s="515">
        <f>IF(ISERROR('A7-CFlow'!I38/'SA8'!I44),0,('A7-CFlow'!I38/'SA8'!I44))</f>
        <v>2.8322453788137243</v>
      </c>
      <c r="J37" s="511">
        <f>IF(ISERROR('A7-CFlow'!J38/'SA8'!J44),0,('A7-CFlow'!J38/'SA8'!J44))</f>
        <v>2.8773613863221277</v>
      </c>
      <c r="K37" s="512">
        <f>IF(ISERROR('A7-CFlow'!K38/'SA8'!K44),0,('A7-CFlow'!K38/'SA8'!K44))</f>
        <v>3.2226462311815753</v>
      </c>
      <c r="L37" s="513">
        <f>IF(ISERROR('A7-CFlow'!L38/'SA8'!L44),0,('A7-CFlow'!L38/'SA8'!L44))</f>
        <v>3.4125102468402817</v>
      </c>
    </row>
    <row r="38" spans="1:13" x14ac:dyDescent="0.25">
      <c r="A38" s="356" t="str">
        <f>head27a</f>
        <v>References</v>
      </c>
    </row>
    <row r="39" spans="1:13" x14ac:dyDescent="0.25">
      <c r="A39" s="461" t="s">
        <v>1284</v>
      </c>
    </row>
    <row r="40" spans="1:13" x14ac:dyDescent="0.25">
      <c r="A40" s="461" t="s">
        <v>1283</v>
      </c>
    </row>
    <row r="42" spans="1:13" x14ac:dyDescent="0.25">
      <c r="A42" s="464" t="s">
        <v>785</v>
      </c>
    </row>
    <row r="43" spans="1:13" x14ac:dyDescent="0.25">
      <c r="A43" s="149" t="s">
        <v>1434</v>
      </c>
      <c r="C43" s="210"/>
      <c r="D43" s="210"/>
      <c r="E43" s="1636"/>
      <c r="F43" s="1636"/>
      <c r="G43" s="1636"/>
      <c r="H43" s="1636"/>
      <c r="I43" s="1636"/>
      <c r="J43" s="1636"/>
      <c r="K43" s="1636"/>
      <c r="L43" s="1636"/>
      <c r="M43" s="370"/>
    </row>
    <row r="44" spans="1:13" x14ac:dyDescent="0.25">
      <c r="A44" s="149" t="s">
        <v>1439</v>
      </c>
      <c r="C44" s="202">
        <f>(('A4-FinPerf RE'!C25+'A4-FinPerf RE'!C26+'A4-FinPerf RE'!C27+'A4-FinPerf RE'!C29+'A4-FinPerf RE'!C30+'A4-FinPerf RE'!C32+'SA1'!C87+'A7-CFlow'!C33)+(('A4-FinPerf RE'!C31+'A4-FinPerf RE'!C34)*'SA8'!C45))/12</f>
        <v>178407201.54999998</v>
      </c>
      <c r="D44" s="202">
        <f>(('A4-FinPerf RE'!D25+'A4-FinPerf RE'!D26+'A4-FinPerf RE'!D27+'A4-FinPerf RE'!D29+'A4-FinPerf RE'!D30+'A4-FinPerf RE'!D32+'SA1'!D87+'A7-CFlow'!D33)+(('A4-FinPerf RE'!D31+'A4-FinPerf RE'!D34)*'SA8'!D45))/12</f>
        <v>174736089.73333332</v>
      </c>
      <c r="E44" s="202">
        <f>(('A4-FinPerf RE'!E25+'A4-FinPerf RE'!E26+'A4-FinPerf RE'!E27+'A4-FinPerf RE'!E29+'A4-FinPerf RE'!E30+'A4-FinPerf RE'!E32+'SA1'!E87+'A7-CFlow'!E33)+(('A4-FinPerf RE'!E31+'A4-FinPerf RE'!E34)*'SA8'!E45))/12</f>
        <v>179084946.51100001</v>
      </c>
      <c r="F44" s="202">
        <f>(('A4-FinPerf RE'!F25+'A4-FinPerf RE'!F26+'A4-FinPerf RE'!F27+'A4-FinPerf RE'!F29+'A4-FinPerf RE'!F30+'A4-FinPerf RE'!F32+'SA1'!F87+'A7-CFlow'!F33)+(('A4-FinPerf RE'!F31+'A4-FinPerf RE'!F34)*'SA8'!F45))/12</f>
        <v>221780438.45771828</v>
      </c>
      <c r="G44" s="202">
        <f>(('A4-FinPerf RE'!G25+'A4-FinPerf RE'!G26+'A4-FinPerf RE'!G27+'A4-FinPerf RE'!G29+'A4-FinPerf RE'!G30+'A4-FinPerf RE'!G32+'SA1'!G87+'A7-CFlow'!G33)+(('A4-FinPerf RE'!G31+'A4-FinPerf RE'!G34)*'SA8'!G45))/12</f>
        <v>228878479.90000001</v>
      </c>
      <c r="H44" s="202">
        <f>(('A4-FinPerf RE'!H25+'A4-FinPerf RE'!H26+'A4-FinPerf RE'!H27+'A4-FinPerf RE'!H29+'A4-FinPerf RE'!H30+'A4-FinPerf RE'!H32+'SA1'!H87+'A7-CFlow'!H33)+(('A4-FinPerf RE'!H31+'A4-FinPerf RE'!H34)*'SA8'!H45))/12</f>
        <v>228878357.06666669</v>
      </c>
      <c r="I44" s="202">
        <f>(('A4-FinPerf RE'!I25+'A4-FinPerf RE'!I26+'A4-FinPerf RE'!I27+'A4-FinPerf RE'!I29+'A4-FinPerf RE'!I30+'A4-FinPerf RE'!I32+'SA1'!I87+'A7-CFlow'!I33)+(('A4-FinPerf RE'!I31+'A4-FinPerf RE'!I34)*'SA8'!I45))/12</f>
        <v>228878371.15000001</v>
      </c>
      <c r="J44" s="202">
        <f>(('A4-FinPerf RE'!J25+'A4-FinPerf RE'!J26+'A4-FinPerf RE'!J27+'A4-FinPerf RE'!J29+'A4-FinPerf RE'!J30+'A4-FinPerf RE'!J32+'SA1'!J87+'A7-CFlow'!J33)+(('A4-FinPerf RE'!J31+'A4-FinPerf RE'!J34)*'SA8'!J45))/12</f>
        <v>240207574.65000001</v>
      </c>
      <c r="K44" s="202">
        <f>(('A4-FinPerf RE'!K25+'A4-FinPerf RE'!K26+'A4-FinPerf RE'!K27+'A4-FinPerf RE'!K29+'A4-FinPerf RE'!K30+'A4-FinPerf RE'!K32+'SA1'!K87+'A7-CFlow'!K33)+(('A4-FinPerf RE'!K31+'A4-FinPerf RE'!K34)*'SA8'!K45))/12</f>
        <v>254664316.56666669</v>
      </c>
      <c r="L44" s="202">
        <f>(('A4-FinPerf RE'!L25+'A4-FinPerf RE'!L26+'A4-FinPerf RE'!L27+'A4-FinPerf RE'!L29+'A4-FinPerf RE'!L30+'A4-FinPerf RE'!L32+'SA1'!L87+'A7-CFlow'!L33)+(('A4-FinPerf RE'!L31+'A4-FinPerf RE'!L34)*'SA8'!L45))/12</f>
        <v>293636920.48333335</v>
      </c>
    </row>
    <row r="45" spans="1:13" x14ac:dyDescent="0.25">
      <c r="A45" s="149" t="s">
        <v>1440</v>
      </c>
      <c r="C45" s="1773">
        <v>0.4</v>
      </c>
      <c r="D45" s="518">
        <f>$C$45</f>
        <v>0.4</v>
      </c>
      <c r="E45" s="518">
        <f t="shared" ref="E45:L45" si="1">$C$45</f>
        <v>0.4</v>
      </c>
      <c r="F45" s="518">
        <f t="shared" si="1"/>
        <v>0.4</v>
      </c>
      <c r="G45" s="518">
        <f t="shared" si="1"/>
        <v>0.4</v>
      </c>
      <c r="H45" s="518">
        <f t="shared" si="1"/>
        <v>0.4</v>
      </c>
      <c r="I45" s="518">
        <f t="shared" si="1"/>
        <v>0.4</v>
      </c>
      <c r="J45" s="518">
        <f t="shared" si="1"/>
        <v>0.4</v>
      </c>
      <c r="K45" s="518">
        <f t="shared" si="1"/>
        <v>0.4</v>
      </c>
      <c r="L45" s="518">
        <f t="shared" si="1"/>
        <v>0.4</v>
      </c>
    </row>
    <row r="46" spans="1:13" x14ac:dyDescent="0.25">
      <c r="A46" s="149" t="s">
        <v>909</v>
      </c>
      <c r="C46" s="2163">
        <f>'A5-Capex'!C40-'A5-Capex'!C70-'A5-Capex'!C71</f>
        <v>97626257</v>
      </c>
      <c r="D46" s="2163">
        <f>'A5-Capex'!D40-'A5-Capex'!D70-'A5-Capex'!D71</f>
        <v>26494640.790000007</v>
      </c>
      <c r="E46" s="2163">
        <f>'A5-Capex'!E40-'A5-Capex'!E70-'A5-Capex'!E71</f>
        <v>74889457.099999964</v>
      </c>
      <c r="F46" s="2163">
        <f>'A5-Capex'!F40-'A5-Capex'!F70-'A5-Capex'!F71</f>
        <v>0</v>
      </c>
      <c r="G46" s="2163">
        <f>'A5-Capex'!G40-'A5-Capex'!G70-'A5-Capex'!G71</f>
        <v>92901823</v>
      </c>
      <c r="H46" s="2163">
        <f>'A5-Capex'!H40-'A5-Capex'!H70-'A5-Capex'!H71</f>
        <v>92901823</v>
      </c>
      <c r="I46" s="2163">
        <f>'A5-Capex'!I40-'A5-Capex'!I70-'A5-Capex'!I71</f>
        <v>92901823</v>
      </c>
      <c r="J46" s="2163">
        <f>'A5-Capex'!J40-'A5-Capex'!J70-'A5-Capex'!J71</f>
        <v>60000103</v>
      </c>
      <c r="K46" s="2163">
        <f>'A5-Capex'!K40-'A5-Capex'!K70-'A5-Capex'!K71</f>
        <v>60000000</v>
      </c>
      <c r="L46" s="2163">
        <f>'A5-Capex'!L40-'A5-Capex'!L70-'A5-Capex'!L71</f>
        <v>50000000</v>
      </c>
    </row>
    <row r="47" spans="1:13" x14ac:dyDescent="0.25">
      <c r="A47" s="149" t="s">
        <v>1280</v>
      </c>
      <c r="C47" s="2163">
        <f>'A7-CFlow'!C29+'A7-CFlow'!C30</f>
        <v>138605840</v>
      </c>
      <c r="D47" s="2163">
        <f>'A7-CFlow'!D29+'A7-CFlow'!D30</f>
        <v>-56885075</v>
      </c>
      <c r="E47" s="2163">
        <f>'A7-CFlow'!E29+'A7-CFlow'!E30</f>
        <v>112361377</v>
      </c>
      <c r="F47" s="2163">
        <f>'A7-CFlow'!F29+'A7-CFlow'!F30</f>
        <v>0</v>
      </c>
      <c r="G47" s="2163">
        <f>'A7-CFlow'!G29+'A7-CFlow'!G30</f>
        <v>0</v>
      </c>
      <c r="H47" s="2163">
        <f>'A7-CFlow'!H29+'A7-CFlow'!H30</f>
        <v>0</v>
      </c>
      <c r="I47" s="2163">
        <f>'A7-CFlow'!I29+'A7-CFlow'!I30</f>
        <v>0</v>
      </c>
      <c r="J47" s="2163">
        <f>'A7-CFlow'!J29+'A7-CFlow'!J30</f>
        <v>0</v>
      </c>
      <c r="K47" s="2163">
        <f>'A7-CFlow'!K29+'A7-CFlow'!K30</f>
        <v>0</v>
      </c>
      <c r="L47" s="2163">
        <f>'A7-CFlow'!L29+'A7-CFlow'!L30</f>
        <v>-42870000</v>
      </c>
    </row>
  </sheetData>
  <sheetProtection password="C646" sheet="1" objects="1" scenarios="1"/>
  <dataConsolidate/>
  <mergeCells count="6">
    <mergeCell ref="A28:A29"/>
    <mergeCell ref="A2:A3"/>
    <mergeCell ref="J2:L2"/>
    <mergeCell ref="B2:B3"/>
    <mergeCell ref="F2:I2"/>
    <mergeCell ref="A26:A27"/>
  </mergeCells>
  <phoneticPr fontId="2" type="noConversion"/>
  <dataValidations count="1">
    <dataValidation type="decimal" allowBlank="1" showInputMessage="1" showErrorMessage="1" sqref="C20:L20 C22:L22 C24:L24 C26:L29 E43:L43 C45">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0"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enableFormatConditionsCalculation="0">
    <tabColor indexed="42"/>
    <pageSetUpPr fitToPage="1"/>
  </sheetPr>
  <dimension ref="A1:M261"/>
  <sheetViews>
    <sheetView showGridLines="0" topLeftCell="C214" zoomScaleNormal="100" workbookViewId="0">
      <selection activeCell="A18" sqref="A18"/>
    </sheetView>
  </sheetViews>
  <sheetFormatPr defaultColWidth="9.1796875" defaultRowHeight="11.25" customHeight="1" x14ac:dyDescent="0.25"/>
  <cols>
    <col min="1" max="1" width="35.26953125" style="149" customWidth="1"/>
    <col min="2" max="2" width="3.7265625" style="149" customWidth="1"/>
    <col min="3" max="3" width="30.26953125" style="149" customWidth="1"/>
    <col min="4" max="12" width="9.26953125" style="149" customWidth="1"/>
    <col min="13" max="16384" width="9.1796875" style="149"/>
  </cols>
  <sheetData>
    <row r="1" spans="1:13" s="179" customFormat="1" ht="13" x14ac:dyDescent="0.3">
      <c r="A1" s="147" t="str">
        <f>muni&amp;" - "&amp;TableA9</f>
        <v>KZN225 Msunduzi - Supporting Table SA9 Social, economic and demographic statistics and assumptions</v>
      </c>
      <c r="B1" s="2348"/>
      <c r="C1" s="147"/>
      <c r="D1" s="147"/>
      <c r="E1" s="147"/>
      <c r="F1" s="147"/>
      <c r="G1" s="147"/>
      <c r="H1" s="147"/>
      <c r="I1" s="147"/>
      <c r="J1" s="147"/>
      <c r="K1" s="147"/>
      <c r="L1" s="147"/>
      <c r="M1" s="147"/>
    </row>
    <row r="2" spans="1:13" ht="33.75" customHeight="1" x14ac:dyDescent="0.25">
      <c r="A2" s="2718" t="s">
        <v>644</v>
      </c>
      <c r="B2" s="2720" t="s">
        <v>1988</v>
      </c>
      <c r="C2" s="2718" t="s">
        <v>1085</v>
      </c>
      <c r="D2" s="2718" t="str">
        <f>Head44</f>
        <v>1996 Census</v>
      </c>
      <c r="E2" s="2718" t="str">
        <f>Head45</f>
        <v>2001 Census</v>
      </c>
      <c r="F2" s="2718" t="s">
        <v>201</v>
      </c>
      <c r="G2" s="2413" t="str">
        <f>head1b</f>
        <v>2009/10</v>
      </c>
      <c r="H2" s="2414" t="str">
        <f>head1A</f>
        <v>2010/11</v>
      </c>
      <c r="I2" s="2415" t="str">
        <f>Head1</f>
        <v>2011/12</v>
      </c>
      <c r="J2" s="2416" t="str">
        <f>Head2</f>
        <v>Current Year 2012/13</v>
      </c>
      <c r="K2" s="2716" t="str">
        <f>Head3</f>
        <v>2013/14 Medium Term Revenue &amp; Expenditure Framework</v>
      </c>
      <c r="L2" s="2716"/>
      <c r="M2" s="2717"/>
    </row>
    <row r="3" spans="1:13" ht="25" customHeight="1" x14ac:dyDescent="0.25">
      <c r="A3" s="2719"/>
      <c r="B3" s="2721"/>
      <c r="C3" s="2719"/>
      <c r="D3" s="2719"/>
      <c r="E3" s="2719"/>
      <c r="F3" s="2719"/>
      <c r="G3" s="1004" t="str">
        <f t="shared" ref="G3:M3" si="0">Head5A</f>
        <v>Outcome</v>
      </c>
      <c r="H3" s="1005" t="str">
        <f t="shared" si="0"/>
        <v>Outcome</v>
      </c>
      <c r="I3" s="2417" t="str">
        <f t="shared" si="0"/>
        <v>Outcome</v>
      </c>
      <c r="J3" s="2418" t="str">
        <f>Head6</f>
        <v>Original Budget</v>
      </c>
      <c r="K3" s="2419" t="str">
        <f t="shared" si="0"/>
        <v>Outcome</v>
      </c>
      <c r="L3" s="1005" t="str">
        <f t="shared" si="0"/>
        <v>Outcome</v>
      </c>
      <c r="M3" s="2420" t="str">
        <f t="shared" si="0"/>
        <v>Outcome</v>
      </c>
    </row>
    <row r="4" spans="1:13" ht="11.25" customHeight="1" x14ac:dyDescent="0.25">
      <c r="A4" s="520" t="s">
        <v>649</v>
      </c>
      <c r="B4" s="2428"/>
      <c r="C4" s="2349"/>
      <c r="D4" s="521"/>
      <c r="E4" s="521"/>
      <c r="F4" s="521"/>
      <c r="G4" s="469"/>
      <c r="H4" s="439"/>
      <c r="I4" s="522"/>
      <c r="J4" s="523"/>
      <c r="K4" s="470"/>
      <c r="L4" s="439"/>
      <c r="M4" s="468"/>
    </row>
    <row r="5" spans="1:13" ht="11.25" customHeight="1" x14ac:dyDescent="0.25">
      <c r="A5" s="304" t="s">
        <v>1117</v>
      </c>
      <c r="B5" s="2429"/>
      <c r="C5" s="2350" t="s">
        <v>2370</v>
      </c>
      <c r="D5" s="1774"/>
      <c r="E5" s="1774" t="s">
        <v>2371</v>
      </c>
      <c r="F5" s="1774">
        <v>616730</v>
      </c>
      <c r="G5" s="2619">
        <v>616730</v>
      </c>
      <c r="H5" s="2619">
        <v>616730</v>
      </c>
      <c r="I5" s="2619">
        <v>616730</v>
      </c>
      <c r="J5" s="2619">
        <v>616730</v>
      </c>
      <c r="K5" s="2619">
        <v>616730</v>
      </c>
      <c r="L5" s="2619">
        <v>616730</v>
      </c>
      <c r="M5" s="2619">
        <v>616730</v>
      </c>
    </row>
    <row r="6" spans="1:13" ht="11.25" customHeight="1" x14ac:dyDescent="0.25">
      <c r="A6" s="524" t="s">
        <v>1115</v>
      </c>
      <c r="B6" s="2430"/>
      <c r="C6" s="2350" t="s">
        <v>2370</v>
      </c>
      <c r="D6" s="1774"/>
      <c r="E6" s="1774"/>
      <c r="F6" s="1774">
        <v>60191</v>
      </c>
      <c r="G6" s="2619">
        <v>60191</v>
      </c>
      <c r="H6" s="2619">
        <v>60191</v>
      </c>
      <c r="I6" s="2619">
        <v>60191</v>
      </c>
      <c r="J6" s="2619">
        <v>60191</v>
      </c>
      <c r="K6" s="2619">
        <f>166517.1</f>
        <v>166517.1</v>
      </c>
      <c r="L6" s="2619">
        <f>166517.1</f>
        <v>166517.1</v>
      </c>
      <c r="M6" s="2619">
        <f>166517.1</f>
        <v>166517.1</v>
      </c>
    </row>
    <row r="7" spans="1:13" ht="11.25" customHeight="1" x14ac:dyDescent="0.25">
      <c r="A7" s="524" t="s">
        <v>129</v>
      </c>
      <c r="B7" s="2430"/>
      <c r="C7" s="2350" t="s">
        <v>2370</v>
      </c>
      <c r="D7" s="1774"/>
      <c r="E7" s="1774"/>
      <c r="F7" s="1774">
        <v>62027</v>
      </c>
      <c r="G7" s="2619">
        <v>62027</v>
      </c>
      <c r="H7" s="2619">
        <v>62027</v>
      </c>
      <c r="I7" s="2619">
        <v>62027</v>
      </c>
      <c r="J7" s="2619">
        <v>62027</v>
      </c>
      <c r="K7" s="2619">
        <v>197353.60000000001</v>
      </c>
      <c r="L7" s="2619">
        <v>197353.60000000001</v>
      </c>
      <c r="M7" s="2619">
        <v>197353.60000000001</v>
      </c>
    </row>
    <row r="8" spans="1:13" ht="11.25" customHeight="1" x14ac:dyDescent="0.25">
      <c r="A8" s="524" t="s">
        <v>1116</v>
      </c>
      <c r="B8" s="2430"/>
      <c r="C8" s="2350" t="s">
        <v>2370</v>
      </c>
      <c r="D8" s="1774"/>
      <c r="E8" s="1774"/>
      <c r="F8" s="1774">
        <v>121878</v>
      </c>
      <c r="G8" s="2619">
        <v>121878</v>
      </c>
      <c r="H8" s="2619">
        <v>121878</v>
      </c>
      <c r="I8" s="2619">
        <v>121878</v>
      </c>
      <c r="J8" s="2619">
        <v>121878</v>
      </c>
      <c r="K8" s="2619">
        <v>228190.1</v>
      </c>
      <c r="L8" s="2619">
        <v>228190.1</v>
      </c>
      <c r="M8" s="2619">
        <v>228190.1</v>
      </c>
    </row>
    <row r="9" spans="1:13" ht="11.25" customHeight="1" x14ac:dyDescent="0.25">
      <c r="A9" s="524" t="s">
        <v>130</v>
      </c>
      <c r="B9" s="2430"/>
      <c r="C9" s="2350" t="s">
        <v>2370</v>
      </c>
      <c r="D9" s="1774"/>
      <c r="E9" s="1774"/>
      <c r="F9" s="1774">
        <v>122889</v>
      </c>
      <c r="G9" s="2619">
        <v>122889</v>
      </c>
      <c r="H9" s="2619">
        <v>122889</v>
      </c>
      <c r="I9" s="2619">
        <v>122889</v>
      </c>
      <c r="J9" s="2619">
        <v>122889</v>
      </c>
      <c r="K9" s="2619">
        <v>240524.7</v>
      </c>
      <c r="L9" s="2619">
        <v>240524.7</v>
      </c>
      <c r="M9" s="2619">
        <v>240524.7</v>
      </c>
    </row>
    <row r="10" spans="1:13" ht="12.75" customHeight="1" x14ac:dyDescent="0.25">
      <c r="A10" s="1112" t="s">
        <v>1118</v>
      </c>
      <c r="B10" s="2431"/>
      <c r="C10" s="2351" t="s">
        <v>2370</v>
      </c>
      <c r="D10" s="1775"/>
      <c r="E10" s="1775"/>
      <c r="F10" s="1775">
        <v>97816</v>
      </c>
      <c r="G10" s="2620">
        <v>97816</v>
      </c>
      <c r="H10" s="2620">
        <v>97816</v>
      </c>
      <c r="I10" s="2620">
        <v>97816</v>
      </c>
      <c r="J10" s="2620">
        <v>97816</v>
      </c>
      <c r="K10" s="2620">
        <v>97816</v>
      </c>
      <c r="L10" s="2620">
        <v>97816</v>
      </c>
      <c r="M10" s="2620">
        <v>97816</v>
      </c>
    </row>
    <row r="11" spans="1:13" ht="11.25" customHeight="1" x14ac:dyDescent="0.25">
      <c r="A11" s="524"/>
      <c r="B11" s="2430"/>
      <c r="C11" s="2352"/>
      <c r="D11" s="526"/>
      <c r="E11" s="526"/>
      <c r="F11" s="526"/>
      <c r="G11" s="451"/>
      <c r="H11" s="441"/>
      <c r="I11" s="528"/>
      <c r="J11" s="443"/>
      <c r="K11" s="529"/>
      <c r="L11" s="441"/>
      <c r="M11" s="450"/>
    </row>
    <row r="12" spans="1:13" ht="11.25" customHeight="1" x14ac:dyDescent="0.25">
      <c r="A12" s="527" t="s">
        <v>2205</v>
      </c>
      <c r="B12" s="2429" t="s">
        <v>2166</v>
      </c>
      <c r="C12" s="2352"/>
      <c r="D12" s="526"/>
      <c r="E12" s="526"/>
      <c r="F12" s="526"/>
      <c r="G12" s="451"/>
      <c r="H12" s="441"/>
      <c r="I12" s="528"/>
      <c r="J12" s="443"/>
      <c r="K12" s="529"/>
      <c r="L12" s="441"/>
      <c r="M12" s="450"/>
    </row>
    <row r="13" spans="1:13" ht="11.25" customHeight="1" x14ac:dyDescent="0.25">
      <c r="A13" s="2426" t="s">
        <v>2165</v>
      </c>
      <c r="B13" s="2357"/>
      <c r="C13" s="2350"/>
      <c r="D13" s="1777"/>
      <c r="E13" s="1777"/>
      <c r="F13" s="1777"/>
      <c r="G13" s="1720"/>
      <c r="H13" s="1718"/>
      <c r="I13" s="1778"/>
      <c r="J13" s="1779"/>
      <c r="K13" s="1721"/>
      <c r="L13" s="1718"/>
      <c r="M13" s="1719"/>
    </row>
    <row r="14" spans="1:13" ht="11.25" customHeight="1" x14ac:dyDescent="0.25">
      <c r="A14" s="2426" t="s">
        <v>2181</v>
      </c>
      <c r="B14" s="2357"/>
      <c r="C14" s="2350"/>
      <c r="D14" s="1777"/>
      <c r="E14" s="1777"/>
      <c r="F14" s="1777"/>
      <c r="G14" s="1720"/>
      <c r="H14" s="1718"/>
      <c r="I14" s="1778"/>
      <c r="J14" s="1779"/>
      <c r="K14" s="1721">
        <v>119039</v>
      </c>
      <c r="L14" s="1718">
        <v>119039</v>
      </c>
      <c r="M14" s="1719">
        <v>119039</v>
      </c>
    </row>
    <row r="15" spans="1:13" ht="11.25" customHeight="1" x14ac:dyDescent="0.25">
      <c r="A15" s="2426" t="s">
        <v>2182</v>
      </c>
      <c r="B15" s="2357"/>
      <c r="C15" s="2350"/>
      <c r="D15" s="1777"/>
      <c r="E15" s="1777"/>
      <c r="F15" s="1777"/>
      <c r="G15" s="1720"/>
      <c r="H15" s="1718"/>
      <c r="I15" s="1778"/>
      <c r="J15" s="1779"/>
      <c r="K15" s="1721">
        <v>77281</v>
      </c>
      <c r="L15" s="1718">
        <v>77281</v>
      </c>
      <c r="M15" s="1719">
        <v>77281</v>
      </c>
    </row>
    <row r="16" spans="1:13" ht="11.25" customHeight="1" x14ac:dyDescent="0.25">
      <c r="A16" s="2426" t="s">
        <v>2183</v>
      </c>
      <c r="B16" s="2357"/>
      <c r="C16" s="2350"/>
      <c r="D16" s="1777"/>
      <c r="E16" s="1777"/>
      <c r="F16" s="1777"/>
      <c r="G16" s="1720"/>
      <c r="H16" s="1718"/>
      <c r="I16" s="1778"/>
      <c r="J16" s="1779"/>
      <c r="K16" s="1721">
        <v>28922</v>
      </c>
      <c r="L16" s="1718">
        <v>28922</v>
      </c>
      <c r="M16" s="1719">
        <v>28922</v>
      </c>
    </row>
    <row r="17" spans="1:13" ht="11.25" customHeight="1" x14ac:dyDescent="0.25">
      <c r="A17" s="2426" t="s">
        <v>2184</v>
      </c>
      <c r="B17" s="2357"/>
      <c r="C17" s="2350"/>
      <c r="D17" s="1777"/>
      <c r="E17" s="1777"/>
      <c r="F17" s="1777"/>
      <c r="G17" s="1720"/>
      <c r="H17" s="1718"/>
      <c r="I17" s="1778"/>
      <c r="J17" s="1779"/>
      <c r="K17" s="1721">
        <v>22852</v>
      </c>
      <c r="L17" s="1718">
        <v>22852</v>
      </c>
      <c r="M17" s="1719">
        <v>22852</v>
      </c>
    </row>
    <row r="18" spans="1:13" ht="11.25" customHeight="1" x14ac:dyDescent="0.25">
      <c r="A18" s="2426" t="s">
        <v>2185</v>
      </c>
      <c r="B18" s="2357"/>
      <c r="C18" s="2350"/>
      <c r="D18" s="1777"/>
      <c r="E18" s="1777"/>
      <c r="F18" s="1777"/>
      <c r="G18" s="1720"/>
      <c r="H18" s="1718"/>
      <c r="I18" s="1778"/>
      <c r="J18" s="1779"/>
      <c r="K18" s="1721" t="s">
        <v>2372</v>
      </c>
      <c r="L18" s="1718" t="s">
        <v>2372</v>
      </c>
      <c r="M18" s="1719" t="s">
        <v>2372</v>
      </c>
    </row>
    <row r="19" spans="1:13" ht="11.25" customHeight="1" x14ac:dyDescent="0.25">
      <c r="A19" s="2426" t="s">
        <v>2186</v>
      </c>
      <c r="B19" s="2357"/>
      <c r="C19" s="2350"/>
      <c r="D19" s="1777"/>
      <c r="E19" s="1777"/>
      <c r="F19" s="1777"/>
      <c r="G19" s="1720"/>
      <c r="H19" s="1718"/>
      <c r="I19" s="1778"/>
      <c r="J19" s="1779"/>
      <c r="K19" s="1721" t="s">
        <v>2373</v>
      </c>
      <c r="L19" s="1718" t="s">
        <v>2373</v>
      </c>
      <c r="M19" s="1719" t="s">
        <v>2373</v>
      </c>
    </row>
    <row r="20" spans="1:13" ht="11.25" customHeight="1" x14ac:dyDescent="0.25">
      <c r="A20" s="2426" t="s">
        <v>2187</v>
      </c>
      <c r="B20" s="2357"/>
      <c r="C20" s="2350"/>
      <c r="D20" s="1777"/>
      <c r="E20" s="1777"/>
      <c r="F20" s="1777"/>
      <c r="G20" s="1720"/>
      <c r="H20" s="1718"/>
      <c r="I20" s="1778"/>
      <c r="J20" s="1779"/>
      <c r="K20" s="1721" t="s">
        <v>2374</v>
      </c>
      <c r="L20" s="1718" t="s">
        <v>2374</v>
      </c>
      <c r="M20" s="1719" t="s">
        <v>2374</v>
      </c>
    </row>
    <row r="21" spans="1:13" ht="11.25" customHeight="1" x14ac:dyDescent="0.25">
      <c r="A21" s="2426" t="s">
        <v>2188</v>
      </c>
      <c r="B21" s="2357"/>
      <c r="C21" s="2350"/>
      <c r="D21" s="1777"/>
      <c r="E21" s="1777"/>
      <c r="F21" s="1777"/>
      <c r="G21" s="1720"/>
      <c r="H21" s="1718"/>
      <c r="I21" s="1778"/>
      <c r="J21" s="1779"/>
      <c r="K21" s="1721" t="s">
        <v>2375</v>
      </c>
      <c r="L21" s="1718" t="s">
        <v>2375</v>
      </c>
      <c r="M21" s="1719" t="s">
        <v>2375</v>
      </c>
    </row>
    <row r="22" spans="1:13" ht="11.25" customHeight="1" x14ac:dyDescent="0.25">
      <c r="A22" s="2426" t="s">
        <v>2189</v>
      </c>
      <c r="B22" s="2357"/>
      <c r="C22" s="2350"/>
      <c r="D22" s="1777"/>
      <c r="E22" s="1777"/>
      <c r="F22" s="1777"/>
      <c r="G22" s="1720"/>
      <c r="H22" s="1718"/>
      <c r="I22" s="1778"/>
      <c r="J22" s="1779"/>
      <c r="K22" s="1721" t="s">
        <v>2376</v>
      </c>
      <c r="L22" s="1718" t="s">
        <v>2376</v>
      </c>
      <c r="M22" s="1719" t="s">
        <v>2376</v>
      </c>
    </row>
    <row r="23" spans="1:13" ht="11.25" customHeight="1" x14ac:dyDescent="0.25">
      <c r="A23" s="2426" t="s">
        <v>2190</v>
      </c>
      <c r="B23" s="2357"/>
      <c r="C23" s="2350"/>
      <c r="D23" s="1777"/>
      <c r="E23" s="1777"/>
      <c r="F23" s="1777"/>
      <c r="G23" s="1720"/>
      <c r="H23" s="1718"/>
      <c r="I23" s="1778"/>
      <c r="J23" s="1779"/>
      <c r="K23" s="1721" t="s">
        <v>2376</v>
      </c>
      <c r="L23" s="1718" t="s">
        <v>2376</v>
      </c>
      <c r="M23" s="1719" t="s">
        <v>2376</v>
      </c>
    </row>
    <row r="24" spans="1:13" ht="11.25" customHeight="1" x14ac:dyDescent="0.25">
      <c r="A24" s="2426" t="s">
        <v>2191</v>
      </c>
      <c r="B24" s="2357"/>
      <c r="C24" s="2350"/>
      <c r="D24" s="1777"/>
      <c r="E24" s="1777"/>
      <c r="F24" s="1777"/>
      <c r="G24" s="1720"/>
      <c r="H24" s="1718"/>
      <c r="I24" s="1778"/>
      <c r="J24" s="1779"/>
      <c r="K24" s="1721" t="s">
        <v>2376</v>
      </c>
      <c r="L24" s="1718" t="s">
        <v>2376</v>
      </c>
      <c r="M24" s="1719" t="s">
        <v>2376</v>
      </c>
    </row>
    <row r="25" spans="1:13" ht="3.75" customHeight="1" x14ac:dyDescent="0.25">
      <c r="A25" s="2427"/>
      <c r="B25" s="2367"/>
      <c r="C25" s="2351"/>
      <c r="D25" s="1781"/>
      <c r="E25" s="1781"/>
      <c r="F25" s="1781"/>
      <c r="G25" s="1782"/>
      <c r="H25" s="1783"/>
      <c r="I25" s="1784"/>
      <c r="J25" s="1785"/>
      <c r="K25" s="1786"/>
      <c r="L25" s="1783"/>
      <c r="M25" s="1787"/>
    </row>
    <row r="26" spans="1:13" ht="11.25" customHeight="1" x14ac:dyDescent="0.25">
      <c r="A26" s="524"/>
      <c r="B26" s="2430"/>
      <c r="C26" s="2353"/>
      <c r="D26" s="530"/>
      <c r="E26" s="530"/>
      <c r="F26" s="530"/>
      <c r="G26" s="459"/>
      <c r="H26" s="457"/>
      <c r="I26" s="531"/>
      <c r="J26" s="532"/>
      <c r="K26" s="460"/>
      <c r="L26" s="457"/>
      <c r="M26" s="458"/>
    </row>
    <row r="27" spans="1:13" ht="11.25" customHeight="1" x14ac:dyDescent="0.25">
      <c r="A27" s="527" t="s">
        <v>2206</v>
      </c>
      <c r="B27" s="2429"/>
      <c r="C27" s="2353"/>
      <c r="D27" s="530"/>
      <c r="E27" s="530"/>
      <c r="F27" s="530"/>
      <c r="G27" s="459"/>
      <c r="H27" s="457"/>
      <c r="I27" s="531"/>
      <c r="J27" s="532"/>
      <c r="K27" s="460"/>
      <c r="L27" s="457"/>
      <c r="M27" s="458"/>
    </row>
    <row r="28" spans="1:13" ht="12.75" customHeight="1" x14ac:dyDescent="0.25">
      <c r="A28" s="2426" t="s">
        <v>2208</v>
      </c>
      <c r="B28" s="2357">
        <v>13</v>
      </c>
      <c r="C28" s="2350"/>
      <c r="D28" s="1788"/>
      <c r="E28" s="1788"/>
      <c r="F28" s="1788"/>
      <c r="G28" s="1789"/>
      <c r="H28" s="1790"/>
      <c r="I28" s="1791"/>
      <c r="J28" s="1792"/>
      <c r="K28" s="1793"/>
      <c r="L28" s="1790"/>
      <c r="M28" s="1794"/>
    </row>
    <row r="29" spans="1:13" ht="12.75" customHeight="1" x14ac:dyDescent="0.25">
      <c r="A29" s="1776" t="s">
        <v>1093</v>
      </c>
      <c r="B29" s="2357">
        <v>2</v>
      </c>
      <c r="C29" s="2350"/>
      <c r="D29" s="1788"/>
      <c r="E29" s="1788"/>
      <c r="F29" s="1788"/>
      <c r="G29" s="1789"/>
      <c r="H29" s="1790"/>
      <c r="I29" s="1791"/>
      <c r="J29" s="1792"/>
      <c r="K29" s="1793"/>
      <c r="L29" s="1790"/>
      <c r="M29" s="1794"/>
    </row>
    <row r="30" spans="1:13" ht="4.5" customHeight="1" x14ac:dyDescent="0.25">
      <c r="A30" s="1113"/>
      <c r="B30" s="2354"/>
      <c r="C30" s="2355"/>
      <c r="D30" s="1114"/>
      <c r="E30" s="1114"/>
      <c r="F30" s="1114"/>
      <c r="G30" s="1115"/>
      <c r="H30" s="1116"/>
      <c r="I30" s="1117"/>
      <c r="J30" s="1118"/>
      <c r="K30" s="1119"/>
      <c r="L30" s="1116"/>
      <c r="M30" s="1120"/>
    </row>
    <row r="31" spans="1:13" ht="11.25" customHeight="1" x14ac:dyDescent="0.25">
      <c r="A31" s="527" t="s">
        <v>1810</v>
      </c>
      <c r="B31" s="2429"/>
      <c r="C31" s="2353"/>
      <c r="D31" s="530"/>
      <c r="E31" s="530"/>
      <c r="F31" s="530"/>
      <c r="G31" s="459"/>
      <c r="H31" s="457"/>
      <c r="I31" s="531"/>
      <c r="J31" s="532"/>
      <c r="K31" s="460"/>
      <c r="L31" s="457"/>
      <c r="M31" s="458"/>
    </row>
    <row r="32" spans="1:13" ht="11.25" customHeight="1" x14ac:dyDescent="0.25">
      <c r="A32" s="1776" t="s">
        <v>1811</v>
      </c>
      <c r="B32" s="2357"/>
      <c r="C32" s="2350" t="s">
        <v>2377</v>
      </c>
      <c r="D32" s="1788"/>
      <c r="E32" s="1788"/>
      <c r="F32" s="1788">
        <v>616730</v>
      </c>
      <c r="G32" s="1614">
        <v>616730</v>
      </c>
      <c r="H32" s="1614">
        <v>616730</v>
      </c>
      <c r="I32" s="1615">
        <v>616730</v>
      </c>
      <c r="J32" s="1795">
        <v>616730</v>
      </c>
      <c r="K32" s="1618">
        <v>616730</v>
      </c>
      <c r="L32" s="1614">
        <v>616730</v>
      </c>
      <c r="M32" s="1617">
        <v>616730</v>
      </c>
    </row>
    <row r="33" spans="1:13" ht="11.25" customHeight="1" x14ac:dyDescent="0.25">
      <c r="A33" s="1776" t="s">
        <v>1812</v>
      </c>
      <c r="B33" s="2357"/>
      <c r="C33" s="2350"/>
      <c r="D33" s="1788"/>
      <c r="E33" s="1788"/>
      <c r="F33" s="1788"/>
      <c r="G33" s="1614"/>
      <c r="H33" s="1614"/>
      <c r="I33" s="1615"/>
      <c r="J33" s="1795"/>
      <c r="K33" s="1618" t="s">
        <v>2376</v>
      </c>
      <c r="L33" s="1614" t="s">
        <v>2376</v>
      </c>
      <c r="M33" s="1617" t="s">
        <v>2376</v>
      </c>
    </row>
    <row r="34" spans="1:13" ht="11.25" customHeight="1" x14ac:dyDescent="0.25">
      <c r="A34" s="1776" t="s">
        <v>1813</v>
      </c>
      <c r="B34" s="2357"/>
      <c r="C34" s="2350" t="s">
        <v>2377</v>
      </c>
      <c r="D34" s="1788"/>
      <c r="E34" s="1788"/>
      <c r="F34" s="1788">
        <v>134390</v>
      </c>
      <c r="G34" s="1614">
        <v>134390</v>
      </c>
      <c r="H34" s="1614">
        <v>134390</v>
      </c>
      <c r="I34" s="1615">
        <v>134390</v>
      </c>
      <c r="J34" s="1795">
        <v>134390</v>
      </c>
      <c r="K34" s="1618">
        <v>134390</v>
      </c>
      <c r="L34" s="1614">
        <v>134390</v>
      </c>
      <c r="M34" s="1617">
        <v>134390</v>
      </c>
    </row>
    <row r="35" spans="1:13" ht="11.25" customHeight="1" x14ac:dyDescent="0.25">
      <c r="A35" s="1776" t="s">
        <v>1814</v>
      </c>
      <c r="B35" s="2357"/>
      <c r="C35" s="2350"/>
      <c r="D35" s="1788"/>
      <c r="E35" s="1788"/>
      <c r="F35" s="1788"/>
      <c r="G35" s="1614"/>
      <c r="H35" s="1614"/>
      <c r="I35" s="1615"/>
      <c r="J35" s="1795"/>
      <c r="K35" s="1618" t="s">
        <v>2376</v>
      </c>
      <c r="L35" s="1614" t="s">
        <v>2376</v>
      </c>
      <c r="M35" s="1617" t="s">
        <v>2376</v>
      </c>
    </row>
    <row r="36" spans="1:13" ht="12.75" customHeight="1" x14ac:dyDescent="0.25">
      <c r="A36" s="1780" t="s">
        <v>301</v>
      </c>
      <c r="B36" s="2367"/>
      <c r="C36" s="2351"/>
      <c r="D36" s="1796"/>
      <c r="E36" s="1796"/>
      <c r="F36" s="1796"/>
      <c r="G36" s="1797"/>
      <c r="H36" s="1797"/>
      <c r="I36" s="1798"/>
      <c r="J36" s="1799"/>
      <c r="K36" s="1800" t="s">
        <v>2376</v>
      </c>
      <c r="L36" s="1797" t="s">
        <v>2376</v>
      </c>
      <c r="M36" s="1801" t="s">
        <v>2376</v>
      </c>
    </row>
    <row r="37" spans="1:13" ht="11.25" customHeight="1" x14ac:dyDescent="0.25">
      <c r="A37" s="527"/>
      <c r="B37" s="2429"/>
      <c r="C37" s="2353"/>
      <c r="D37" s="530"/>
      <c r="E37" s="530"/>
      <c r="F37" s="530"/>
      <c r="G37" s="459"/>
      <c r="H37" s="457"/>
      <c r="I37" s="531"/>
      <c r="J37" s="532"/>
      <c r="K37" s="460"/>
      <c r="L37" s="457"/>
      <c r="M37" s="458"/>
    </row>
    <row r="38" spans="1:13" ht="11.25" customHeight="1" x14ac:dyDescent="0.25">
      <c r="A38" s="527" t="s">
        <v>2080</v>
      </c>
      <c r="B38" s="2429">
        <v>3</v>
      </c>
      <c r="C38" s="2353"/>
      <c r="D38" s="530"/>
      <c r="E38" s="530"/>
      <c r="F38" s="530"/>
      <c r="G38" s="459"/>
      <c r="H38" s="457"/>
      <c r="I38" s="531"/>
      <c r="J38" s="532"/>
      <c r="K38" s="460"/>
      <c r="L38" s="457"/>
      <c r="M38" s="458"/>
    </row>
    <row r="39" spans="1:13" ht="11.25" customHeight="1" x14ac:dyDescent="0.25">
      <c r="A39" s="1776" t="s">
        <v>919</v>
      </c>
      <c r="B39" s="2357"/>
      <c r="C39" s="2350" t="s">
        <v>2377</v>
      </c>
      <c r="D39" s="1788"/>
      <c r="E39" s="1788"/>
      <c r="F39" s="1788">
        <v>67899</v>
      </c>
      <c r="G39" s="1802">
        <v>67899</v>
      </c>
      <c r="H39" s="1803">
        <v>67899</v>
      </c>
      <c r="I39" s="1804">
        <v>67899</v>
      </c>
      <c r="J39" s="1805">
        <v>67899</v>
      </c>
      <c r="K39" s="1806"/>
      <c r="L39" s="1803" t="s">
        <v>2376</v>
      </c>
      <c r="M39" s="1807" t="s">
        <v>2376</v>
      </c>
    </row>
    <row r="40" spans="1:13" ht="11.25" customHeight="1" x14ac:dyDescent="0.25">
      <c r="A40" s="1776" t="s">
        <v>920</v>
      </c>
      <c r="B40" s="2357"/>
      <c r="C40" s="2350" t="s">
        <v>2377</v>
      </c>
      <c r="D40" s="1808"/>
      <c r="E40" s="1796"/>
      <c r="F40" s="1796">
        <v>10369</v>
      </c>
      <c r="G40" s="1809">
        <v>10369</v>
      </c>
      <c r="H40" s="1810">
        <v>10369</v>
      </c>
      <c r="I40" s="1811">
        <v>10369</v>
      </c>
      <c r="J40" s="1812">
        <v>10369</v>
      </c>
      <c r="K40" s="1813"/>
      <c r="L40" s="1810" t="s">
        <v>2376</v>
      </c>
      <c r="M40" s="1814" t="s">
        <v>2376</v>
      </c>
    </row>
    <row r="41" spans="1:13" ht="11.25" customHeight="1" x14ac:dyDescent="0.25">
      <c r="A41" s="2356" t="s">
        <v>1328</v>
      </c>
      <c r="B41" s="2357"/>
      <c r="C41" s="2358"/>
      <c r="D41" s="2359">
        <f>SUM(D39:D40)</f>
        <v>0</v>
      </c>
      <c r="E41" s="2359">
        <f t="shared" ref="E41:M41" si="1">SUM(E39:E40)</f>
        <v>0</v>
      </c>
      <c r="F41" s="2359">
        <f t="shared" si="1"/>
        <v>78268</v>
      </c>
      <c r="G41" s="2360">
        <f t="shared" si="1"/>
        <v>78268</v>
      </c>
      <c r="H41" s="2361">
        <f t="shared" si="1"/>
        <v>78268</v>
      </c>
      <c r="I41" s="2362">
        <f t="shared" si="1"/>
        <v>78268</v>
      </c>
      <c r="J41" s="2363">
        <f t="shared" si="1"/>
        <v>78268</v>
      </c>
      <c r="K41" s="2364">
        <f t="shared" si="1"/>
        <v>0</v>
      </c>
      <c r="L41" s="2361">
        <f t="shared" si="1"/>
        <v>0</v>
      </c>
      <c r="M41" s="2365">
        <f t="shared" si="1"/>
        <v>0</v>
      </c>
    </row>
    <row r="42" spans="1:13" ht="11.25" customHeight="1" x14ac:dyDescent="0.25">
      <c r="A42" s="1776" t="s">
        <v>2081</v>
      </c>
      <c r="B42" s="2357">
        <v>4</v>
      </c>
      <c r="C42" s="2350" t="s">
        <v>2377</v>
      </c>
      <c r="D42" s="1788"/>
      <c r="E42" s="1788"/>
      <c r="F42" s="1788">
        <v>134390</v>
      </c>
      <c r="G42" s="1802">
        <v>134390</v>
      </c>
      <c r="H42" s="1803">
        <v>134390</v>
      </c>
      <c r="I42" s="1804">
        <v>134390</v>
      </c>
      <c r="J42" s="1805">
        <v>134390</v>
      </c>
      <c r="K42" s="1806">
        <v>134390</v>
      </c>
      <c r="L42" s="1803" t="s">
        <v>2376</v>
      </c>
      <c r="M42" s="1807" t="s">
        <v>2376</v>
      </c>
    </row>
    <row r="43" spans="1:13" ht="11.25" customHeight="1" x14ac:dyDescent="0.25">
      <c r="A43" s="1776" t="s">
        <v>516</v>
      </c>
      <c r="B43" s="2357"/>
      <c r="C43" s="2350" t="s">
        <v>2377</v>
      </c>
      <c r="D43" s="1788"/>
      <c r="E43" s="1788"/>
      <c r="F43" s="1788">
        <v>2155151</v>
      </c>
      <c r="G43" s="1802">
        <v>2155151</v>
      </c>
      <c r="H43" s="1803">
        <v>2155151</v>
      </c>
      <c r="I43" s="1804">
        <v>2155151</v>
      </c>
      <c r="J43" s="1805">
        <v>2155151</v>
      </c>
      <c r="K43" s="1806">
        <v>2155151</v>
      </c>
      <c r="L43" s="1803" t="s">
        <v>2376</v>
      </c>
      <c r="M43" s="1807" t="s">
        <v>2376</v>
      </c>
    </row>
    <row r="44" spans="1:13" ht="11.25" customHeight="1" x14ac:dyDescent="0.25">
      <c r="A44" s="1776" t="s">
        <v>2082</v>
      </c>
      <c r="B44" s="2357">
        <v>5</v>
      </c>
      <c r="C44" s="2350"/>
      <c r="D44" s="1815"/>
      <c r="E44" s="1788"/>
      <c r="F44" s="1788"/>
      <c r="G44" s="1802"/>
      <c r="H44" s="1803"/>
      <c r="I44" s="1804"/>
      <c r="J44" s="1805"/>
      <c r="K44" s="1806"/>
      <c r="L44" s="1803"/>
      <c r="M44" s="1807"/>
    </row>
    <row r="45" spans="1:13" ht="12.75" customHeight="1" x14ac:dyDescent="0.25">
      <c r="A45" s="2366" t="s">
        <v>302</v>
      </c>
      <c r="B45" s="2367"/>
      <c r="C45" s="2368"/>
      <c r="D45" s="2369">
        <f>SUM(D42:D44)</f>
        <v>0</v>
      </c>
      <c r="E45" s="2370">
        <f t="shared" ref="E45:M45" si="2">SUM(E42:E44)</f>
        <v>0</v>
      </c>
      <c r="F45" s="2370">
        <f t="shared" si="2"/>
        <v>2289541</v>
      </c>
      <c r="G45" s="2371">
        <f t="shared" si="2"/>
        <v>2289541</v>
      </c>
      <c r="H45" s="2372">
        <f t="shared" si="2"/>
        <v>2289541</v>
      </c>
      <c r="I45" s="2373">
        <f t="shared" si="2"/>
        <v>2289541</v>
      </c>
      <c r="J45" s="2374">
        <f t="shared" si="2"/>
        <v>2289541</v>
      </c>
      <c r="K45" s="2375">
        <f t="shared" si="2"/>
        <v>2289541</v>
      </c>
      <c r="L45" s="2372">
        <f t="shared" si="2"/>
        <v>0</v>
      </c>
      <c r="M45" s="2376">
        <f t="shared" si="2"/>
        <v>0</v>
      </c>
    </row>
    <row r="46" spans="1:13" ht="11.25" customHeight="1" x14ac:dyDescent="0.25">
      <c r="A46" s="524"/>
      <c r="B46" s="2430"/>
      <c r="C46" s="2353"/>
      <c r="D46" s="526"/>
      <c r="E46" s="526"/>
      <c r="F46" s="526"/>
      <c r="G46" s="454"/>
      <c r="H46" s="533"/>
      <c r="I46" s="534"/>
      <c r="J46" s="453"/>
      <c r="K46" s="535"/>
      <c r="L46" s="533"/>
      <c r="M46" s="452"/>
    </row>
    <row r="47" spans="1:13" ht="11.25" customHeight="1" x14ac:dyDescent="0.25">
      <c r="A47" s="536" t="s">
        <v>2083</v>
      </c>
      <c r="B47" s="2430">
        <v>6</v>
      </c>
      <c r="C47" s="2353"/>
      <c r="D47" s="537"/>
      <c r="E47" s="537"/>
      <c r="F47" s="537"/>
      <c r="G47" s="500"/>
      <c r="H47" s="498"/>
      <c r="I47" s="538"/>
      <c r="J47" s="539"/>
      <c r="K47" s="508"/>
      <c r="L47" s="505"/>
      <c r="M47" s="506"/>
    </row>
    <row r="48" spans="1:13" ht="11.25" customHeight="1" x14ac:dyDescent="0.25">
      <c r="A48" s="524" t="s">
        <v>1045</v>
      </c>
      <c r="B48" s="2430"/>
      <c r="C48" s="2353"/>
      <c r="D48" s="540"/>
      <c r="E48" s="2052"/>
      <c r="F48" s="2052"/>
      <c r="G48" s="1771">
        <v>0.1043</v>
      </c>
      <c r="H48" s="1769"/>
      <c r="I48" s="1816">
        <v>0.04</v>
      </c>
      <c r="J48" s="1817">
        <v>0.04</v>
      </c>
      <c r="K48" s="1772" t="s">
        <v>2376</v>
      </c>
      <c r="L48" s="1769" t="s">
        <v>2376</v>
      </c>
      <c r="M48" s="1770" t="s">
        <v>2376</v>
      </c>
    </row>
    <row r="49" spans="1:13" ht="11.25" customHeight="1" x14ac:dyDescent="0.25">
      <c r="A49" s="524" t="s">
        <v>1119</v>
      </c>
      <c r="B49" s="2430"/>
      <c r="C49" s="2353"/>
      <c r="D49" s="540"/>
      <c r="E49" s="2052"/>
      <c r="F49" s="2052"/>
      <c r="G49" s="1771">
        <v>0.14000000000000001</v>
      </c>
      <c r="H49" s="1769"/>
      <c r="I49" s="1816">
        <v>0.09</v>
      </c>
      <c r="J49" s="1817">
        <v>0.09</v>
      </c>
      <c r="K49" s="1772" t="s">
        <v>2376</v>
      </c>
      <c r="L49" s="1769" t="s">
        <v>2376</v>
      </c>
      <c r="M49" s="1770" t="s">
        <v>2376</v>
      </c>
    </row>
    <row r="50" spans="1:13" ht="11.25" customHeight="1" x14ac:dyDescent="0.25">
      <c r="A50" s="524" t="s">
        <v>1120</v>
      </c>
      <c r="B50" s="2430"/>
      <c r="C50" s="2353"/>
      <c r="D50" s="541"/>
      <c r="E50" s="2053"/>
      <c r="F50" s="2053"/>
      <c r="G50" s="1771">
        <v>6.3E-2</v>
      </c>
      <c r="H50" s="1769"/>
      <c r="I50" s="1816">
        <v>0.05</v>
      </c>
      <c r="J50" s="1817">
        <v>0.05</v>
      </c>
      <c r="K50" s="1772" t="s">
        <v>2376</v>
      </c>
      <c r="L50" s="1769" t="s">
        <v>2376</v>
      </c>
      <c r="M50" s="1770" t="s">
        <v>2376</v>
      </c>
    </row>
    <row r="51" spans="1:13" ht="11.25" customHeight="1" x14ac:dyDescent="0.25">
      <c r="A51" s="524" t="s">
        <v>1121</v>
      </c>
      <c r="B51" s="2430"/>
      <c r="C51" s="2353"/>
      <c r="D51" s="540"/>
      <c r="E51" s="2052"/>
      <c r="F51" s="2052"/>
      <c r="G51" s="1818">
        <v>8.5000000000000006E-2</v>
      </c>
      <c r="H51" s="1819"/>
      <c r="I51" s="1820">
        <v>8.4599999999999995E-2</v>
      </c>
      <c r="J51" s="1817">
        <v>7.0000000000000007E-2</v>
      </c>
      <c r="K51" s="1821" t="s">
        <v>2376</v>
      </c>
      <c r="L51" s="1819" t="s">
        <v>2376</v>
      </c>
      <c r="M51" s="1822" t="s">
        <v>2376</v>
      </c>
    </row>
    <row r="52" spans="1:13" ht="11.25" customHeight="1" x14ac:dyDescent="0.25">
      <c r="A52" s="524" t="s">
        <v>726</v>
      </c>
      <c r="B52" s="2430"/>
      <c r="C52" s="2353"/>
      <c r="D52" s="540"/>
      <c r="E52" s="2052"/>
      <c r="F52" s="2052"/>
      <c r="G52" s="1818"/>
      <c r="H52" s="1819"/>
      <c r="I52" s="1820"/>
      <c r="J52" s="1817">
        <v>0.08</v>
      </c>
      <c r="K52" s="1821" t="s">
        <v>2376</v>
      </c>
      <c r="L52" s="1819" t="s">
        <v>2376</v>
      </c>
      <c r="M52" s="1822" t="s">
        <v>2376</v>
      </c>
    </row>
    <row r="53" spans="1:13" ht="12.75" customHeight="1" x14ac:dyDescent="0.25">
      <c r="A53" s="524" t="s">
        <v>727</v>
      </c>
      <c r="B53" s="2430"/>
      <c r="C53" s="2353"/>
      <c r="D53" s="540"/>
      <c r="E53" s="2052"/>
      <c r="F53" s="2052"/>
      <c r="G53" s="1818"/>
      <c r="H53" s="1819"/>
      <c r="I53" s="1820"/>
      <c r="J53" s="1817">
        <v>0.08</v>
      </c>
      <c r="K53" s="1821" t="s">
        <v>2376</v>
      </c>
      <c r="L53" s="1819" t="s">
        <v>2376</v>
      </c>
      <c r="M53" s="1822" t="s">
        <v>2376</v>
      </c>
    </row>
    <row r="54" spans="1:13" ht="11.25" customHeight="1" x14ac:dyDescent="0.25">
      <c r="A54" s="525"/>
      <c r="B54" s="2430"/>
      <c r="C54" s="2353"/>
      <c r="D54" s="526"/>
      <c r="E54" s="526"/>
      <c r="F54" s="526"/>
      <c r="G54" s="455"/>
      <c r="H54" s="542"/>
      <c r="I54" s="538"/>
      <c r="J54" s="456"/>
      <c r="K54" s="501"/>
      <c r="L54" s="498"/>
      <c r="M54" s="499"/>
    </row>
    <row r="55" spans="1:13" ht="11.25" customHeight="1" x14ac:dyDescent="0.25">
      <c r="A55" s="536" t="s">
        <v>2084</v>
      </c>
      <c r="B55" s="2430">
        <v>7</v>
      </c>
      <c r="C55" s="2353"/>
      <c r="D55" s="526"/>
      <c r="E55" s="526"/>
      <c r="F55" s="526"/>
      <c r="G55" s="455"/>
      <c r="H55" s="542"/>
      <c r="I55" s="538"/>
      <c r="J55" s="456"/>
      <c r="K55" s="501"/>
      <c r="L55" s="498"/>
      <c r="M55" s="499"/>
    </row>
    <row r="56" spans="1:13" ht="11.25" customHeight="1" x14ac:dyDescent="0.25">
      <c r="A56" s="524" t="s">
        <v>1122</v>
      </c>
      <c r="B56" s="2430"/>
      <c r="C56" s="2353"/>
      <c r="D56" s="540"/>
      <c r="E56" s="2052"/>
      <c r="F56" s="2052"/>
      <c r="G56" s="1771"/>
      <c r="H56" s="1769"/>
      <c r="I56" s="1816"/>
      <c r="J56" s="1817">
        <v>0.89500000000000002</v>
      </c>
      <c r="K56" s="1772" t="s">
        <v>2376</v>
      </c>
      <c r="L56" s="1769" t="s">
        <v>2376</v>
      </c>
      <c r="M56" s="1770" t="s">
        <v>2376</v>
      </c>
    </row>
    <row r="57" spans="1:13" ht="11.25" customHeight="1" x14ac:dyDescent="0.25">
      <c r="A57" s="524" t="s">
        <v>1123</v>
      </c>
      <c r="B57" s="2430"/>
      <c r="C57" s="2353"/>
      <c r="D57" s="540"/>
      <c r="E57" s="2052"/>
      <c r="F57" s="2052"/>
      <c r="G57" s="1771"/>
      <c r="H57" s="1769"/>
      <c r="I57" s="1816"/>
      <c r="J57" s="1817"/>
      <c r="K57" s="1772" t="s">
        <v>2376</v>
      </c>
      <c r="L57" s="1769" t="s">
        <v>2376</v>
      </c>
      <c r="M57" s="1770" t="s">
        <v>2376</v>
      </c>
    </row>
    <row r="58" spans="1:13" ht="11.25" customHeight="1" x14ac:dyDescent="0.25">
      <c r="A58" s="524" t="s">
        <v>581</v>
      </c>
      <c r="B58" s="2430"/>
      <c r="C58" s="2353"/>
      <c r="D58" s="540"/>
      <c r="E58" s="2052"/>
      <c r="F58" s="2052"/>
      <c r="G58" s="1771">
        <v>0.09</v>
      </c>
      <c r="H58" s="1769"/>
      <c r="I58" s="1816"/>
      <c r="J58" s="1817">
        <v>0.05</v>
      </c>
      <c r="K58" s="1772" t="s">
        <v>2376</v>
      </c>
      <c r="L58" s="1769" t="s">
        <v>2376</v>
      </c>
      <c r="M58" s="1770" t="s">
        <v>2376</v>
      </c>
    </row>
    <row r="59" spans="1:13" ht="11.25" customHeight="1" x14ac:dyDescent="0.25">
      <c r="A59" s="524" t="s">
        <v>582</v>
      </c>
      <c r="B59" s="2430"/>
      <c r="C59" s="2353"/>
      <c r="D59" s="540"/>
      <c r="E59" s="2052"/>
      <c r="F59" s="2052"/>
      <c r="G59" s="1771">
        <v>0.6</v>
      </c>
      <c r="H59" s="1769"/>
      <c r="I59" s="1816"/>
      <c r="J59" s="1817">
        <v>0.89500000000000002</v>
      </c>
      <c r="K59" s="1772" t="s">
        <v>2376</v>
      </c>
      <c r="L59" s="1769" t="s">
        <v>2376</v>
      </c>
      <c r="M59" s="1770" t="s">
        <v>2376</v>
      </c>
    </row>
    <row r="60" spans="1:13" ht="13.5" customHeight="1" x14ac:dyDescent="0.25">
      <c r="A60" s="524" t="s">
        <v>583</v>
      </c>
      <c r="B60" s="2430"/>
      <c r="C60" s="2353"/>
      <c r="D60" s="540"/>
      <c r="E60" s="2052"/>
      <c r="F60" s="2052"/>
      <c r="G60" s="1771"/>
      <c r="H60" s="1769"/>
      <c r="I60" s="1816"/>
      <c r="J60" s="1817"/>
      <c r="K60" s="1772" t="s">
        <v>2376</v>
      </c>
      <c r="L60" s="1769" t="s">
        <v>2376</v>
      </c>
      <c r="M60" s="1770" t="s">
        <v>2376</v>
      </c>
    </row>
    <row r="61" spans="1:13" s="709" customFormat="1" ht="3.75" customHeight="1" x14ac:dyDescent="0.25">
      <c r="A61" s="543"/>
      <c r="B61" s="2377"/>
      <c r="C61" s="2378"/>
      <c r="D61" s="544"/>
      <c r="E61" s="544"/>
      <c r="F61" s="544"/>
      <c r="G61" s="545"/>
      <c r="H61" s="546"/>
      <c r="I61" s="547"/>
      <c r="J61" s="548"/>
      <c r="K61" s="549"/>
      <c r="L61" s="550"/>
      <c r="M61" s="551"/>
    </row>
    <row r="62" spans="1:13" s="709" customFormat="1" ht="18.75" customHeight="1" x14ac:dyDescent="0.3">
      <c r="A62" s="2379" t="s">
        <v>2085</v>
      </c>
      <c r="B62" s="247"/>
      <c r="C62" s="149"/>
      <c r="D62" s="149"/>
      <c r="E62" s="149"/>
      <c r="F62" s="149"/>
      <c r="G62" s="309"/>
      <c r="H62" s="309"/>
      <c r="I62" s="309"/>
      <c r="J62" s="309"/>
      <c r="K62" s="309"/>
      <c r="L62" s="309"/>
      <c r="M62" s="309"/>
    </row>
    <row r="63" spans="1:13" s="709" customFormat="1" ht="25" customHeight="1" x14ac:dyDescent="0.3">
      <c r="A63" s="2722" t="s">
        <v>2086</v>
      </c>
      <c r="B63" s="2380"/>
      <c r="C63" s="2381"/>
      <c r="D63" s="2382"/>
      <c r="E63" s="2383" t="str">
        <f>head1b</f>
        <v>2009/10</v>
      </c>
      <c r="F63" s="1123" t="str">
        <f>head1A</f>
        <v>2010/11</v>
      </c>
      <c r="G63" s="1124" t="str">
        <f>Head1</f>
        <v>2011/12</v>
      </c>
      <c r="H63" s="2685" t="str">
        <f>Head2</f>
        <v>Current Year 2012/13</v>
      </c>
      <c r="I63" s="2686"/>
      <c r="J63" s="2687"/>
      <c r="K63" s="2685" t="str">
        <f>Head3</f>
        <v>2013/14 Medium Term Revenue &amp; Expenditure Framework</v>
      </c>
      <c r="L63" s="2686"/>
      <c r="M63" s="2687"/>
    </row>
    <row r="64" spans="1:13" s="709" customFormat="1" ht="25" customHeight="1" x14ac:dyDescent="0.25">
      <c r="A64" s="2722"/>
      <c r="B64" s="2384" t="s">
        <v>1988</v>
      </c>
      <c r="C64" s="1585"/>
      <c r="D64" s="1586"/>
      <c r="E64" s="2385" t="str">
        <f>Head5A</f>
        <v>Outcome</v>
      </c>
      <c r="F64" s="2386" t="str">
        <f>Head5A</f>
        <v>Outcome</v>
      </c>
      <c r="G64" s="2387" t="str">
        <f>Head5A</f>
        <v>Outcome</v>
      </c>
      <c r="H64" s="2388" t="str">
        <f>Head6</f>
        <v>Original Budget</v>
      </c>
      <c r="I64" s="2386" t="str">
        <f>Head7</f>
        <v>Adjusted Budget</v>
      </c>
      <c r="J64" s="2387" t="str">
        <f>Head8</f>
        <v>Full Year Forecast</v>
      </c>
      <c r="K64" s="2388" t="str">
        <f>Head9</f>
        <v>Budget Year 2013/14</v>
      </c>
      <c r="L64" s="2386" t="str">
        <f>Head10</f>
        <v>Budget Year +1 2014/15</v>
      </c>
      <c r="M64" s="2387" t="str">
        <f>Head11</f>
        <v>Budget Year +2 2015/16</v>
      </c>
    </row>
    <row r="65" spans="1:13" s="709" customFormat="1" ht="11.25" customHeight="1" x14ac:dyDescent="0.3">
      <c r="A65" s="149"/>
      <c r="B65" s="2389"/>
      <c r="C65" s="2390" t="s">
        <v>200</v>
      </c>
      <c r="D65" s="2421"/>
      <c r="E65" s="556"/>
      <c r="F65" s="2391"/>
      <c r="G65" s="2392"/>
      <c r="H65" s="2393"/>
      <c r="I65" s="2394"/>
      <c r="J65" s="2395"/>
      <c r="K65" s="2396"/>
      <c r="L65" s="2394"/>
      <c r="M65" s="2397"/>
    </row>
    <row r="66" spans="1:13" s="709" customFormat="1" ht="11.25" customHeight="1" x14ac:dyDescent="0.25">
      <c r="A66" s="149"/>
      <c r="B66" s="2389"/>
      <c r="C66" s="2398" t="s">
        <v>1853</v>
      </c>
      <c r="D66" s="2422"/>
      <c r="E66" s="1134"/>
      <c r="F66" s="1130"/>
      <c r="G66" s="1133"/>
      <c r="H66" s="1065"/>
      <c r="I66" s="1063"/>
      <c r="J66" s="1066"/>
      <c r="K66" s="1067"/>
      <c r="L66" s="1063"/>
      <c r="M66" s="1064"/>
    </row>
    <row r="67" spans="1:13" ht="11.25" customHeight="1" x14ac:dyDescent="0.25">
      <c r="B67" s="2389"/>
      <c r="C67" s="2399" t="s">
        <v>1641</v>
      </c>
      <c r="D67" s="2422"/>
      <c r="E67" s="1665"/>
      <c r="F67" s="1661"/>
      <c r="G67" s="1662"/>
      <c r="H67" s="2484"/>
      <c r="I67" s="1661"/>
      <c r="J67" s="1664"/>
      <c r="K67" s="1665"/>
      <c r="L67" s="1661"/>
      <c r="M67" s="1662"/>
    </row>
    <row r="68" spans="1:13" ht="11.25" customHeight="1" x14ac:dyDescent="0.25">
      <c r="B68" s="2389"/>
      <c r="C68" s="2399" t="s">
        <v>1852</v>
      </c>
      <c r="D68" s="2422"/>
      <c r="E68" s="1665"/>
      <c r="F68" s="1661"/>
      <c r="G68" s="1662"/>
      <c r="H68" s="2484"/>
      <c r="I68" s="1661"/>
      <c r="J68" s="1664"/>
      <c r="K68" s="1665"/>
      <c r="L68" s="1661"/>
      <c r="M68" s="1662"/>
    </row>
    <row r="69" spans="1:13" ht="11.25" customHeight="1" x14ac:dyDescent="0.25">
      <c r="B69" s="2400">
        <v>8</v>
      </c>
      <c r="C69" s="2399" t="s">
        <v>131</v>
      </c>
      <c r="D69" s="2422"/>
      <c r="E69" s="1665"/>
      <c r="F69" s="1661"/>
      <c r="G69" s="1662"/>
      <c r="H69" s="2484"/>
      <c r="I69" s="1661"/>
      <c r="J69" s="1664"/>
      <c r="K69" s="1665"/>
      <c r="L69" s="1661"/>
      <c r="M69" s="1662"/>
    </row>
    <row r="70" spans="1:13" ht="11.25" customHeight="1" x14ac:dyDescent="0.25">
      <c r="B70" s="2400">
        <v>10</v>
      </c>
      <c r="C70" s="2399" t="s">
        <v>132</v>
      </c>
      <c r="D70" s="2422"/>
      <c r="E70" s="1665"/>
      <c r="F70" s="1661"/>
      <c r="G70" s="1662"/>
      <c r="H70" s="2484"/>
      <c r="I70" s="1661"/>
      <c r="J70" s="1664"/>
      <c r="K70" s="1665"/>
      <c r="L70" s="1661"/>
      <c r="M70" s="1662"/>
    </row>
    <row r="71" spans="1:13" ht="11.25" customHeight="1" x14ac:dyDescent="0.25">
      <c r="B71" s="2400"/>
      <c r="C71" s="2401" t="s">
        <v>375</v>
      </c>
      <c r="D71" s="2422"/>
      <c r="E71" s="2489">
        <f>SUM(E67:E70)</f>
        <v>0</v>
      </c>
      <c r="F71" s="2485">
        <f t="shared" ref="F71:M71" si="3">SUM(F67:F70)</f>
        <v>0</v>
      </c>
      <c r="G71" s="2486">
        <f t="shared" si="3"/>
        <v>0</v>
      </c>
      <c r="H71" s="2487">
        <f t="shared" si="3"/>
        <v>0</v>
      </c>
      <c r="I71" s="2485">
        <f t="shared" si="3"/>
        <v>0</v>
      </c>
      <c r="J71" s="2488">
        <f t="shared" si="3"/>
        <v>0</v>
      </c>
      <c r="K71" s="2489">
        <f t="shared" si="3"/>
        <v>0</v>
      </c>
      <c r="L71" s="2485">
        <f t="shared" si="3"/>
        <v>0</v>
      </c>
      <c r="M71" s="2486">
        <f t="shared" si="3"/>
        <v>0</v>
      </c>
    </row>
    <row r="72" spans="1:13" ht="11.25" customHeight="1" x14ac:dyDescent="0.25">
      <c r="B72" s="2400">
        <v>9</v>
      </c>
      <c r="C72" s="2399" t="s">
        <v>504</v>
      </c>
      <c r="D72" s="2422"/>
      <c r="E72" s="1665"/>
      <c r="F72" s="1661"/>
      <c r="G72" s="1662"/>
      <c r="H72" s="2484"/>
      <c r="I72" s="1661"/>
      <c r="J72" s="1664"/>
      <c r="K72" s="1665"/>
      <c r="L72" s="1661"/>
      <c r="M72" s="1662"/>
    </row>
    <row r="73" spans="1:13" ht="11.25" customHeight="1" x14ac:dyDescent="0.25">
      <c r="B73" s="2400">
        <v>10</v>
      </c>
      <c r="C73" s="2399" t="s">
        <v>505</v>
      </c>
      <c r="D73" s="2422"/>
      <c r="E73" s="1665"/>
      <c r="F73" s="1661"/>
      <c r="G73" s="1662"/>
      <c r="H73" s="2484"/>
      <c r="I73" s="1661"/>
      <c r="J73" s="1664"/>
      <c r="K73" s="1665"/>
      <c r="L73" s="1661"/>
      <c r="M73" s="1662"/>
    </row>
    <row r="74" spans="1:13" ht="11.25" customHeight="1" x14ac:dyDescent="0.25">
      <c r="B74" s="2389"/>
      <c r="C74" s="2399" t="s">
        <v>971</v>
      </c>
      <c r="D74" s="2422"/>
      <c r="E74" s="1665"/>
      <c r="F74" s="1661"/>
      <c r="G74" s="1662"/>
      <c r="H74" s="2484"/>
      <c r="I74" s="1661"/>
      <c r="J74" s="1664"/>
      <c r="K74" s="1665"/>
      <c r="L74" s="1661"/>
      <c r="M74" s="1662"/>
    </row>
    <row r="75" spans="1:13" ht="11.25" customHeight="1" x14ac:dyDescent="0.25">
      <c r="B75" s="2389"/>
      <c r="C75" s="2401" t="s">
        <v>1290</v>
      </c>
      <c r="D75" s="2422"/>
      <c r="E75" s="2494">
        <f>SUM(E72:E74)</f>
        <v>0</v>
      </c>
      <c r="F75" s="2490">
        <f t="shared" ref="F75:M75" si="4">SUM(F72:F74)</f>
        <v>0</v>
      </c>
      <c r="G75" s="2491">
        <f t="shared" si="4"/>
        <v>0</v>
      </c>
      <c r="H75" s="2492">
        <f t="shared" si="4"/>
        <v>0</v>
      </c>
      <c r="I75" s="2490">
        <f t="shared" si="4"/>
        <v>0</v>
      </c>
      <c r="J75" s="2493">
        <f t="shared" si="4"/>
        <v>0</v>
      </c>
      <c r="K75" s="2494">
        <f t="shared" si="4"/>
        <v>0</v>
      </c>
      <c r="L75" s="2490">
        <f t="shared" si="4"/>
        <v>0</v>
      </c>
      <c r="M75" s="2491">
        <f t="shared" si="4"/>
        <v>0</v>
      </c>
    </row>
    <row r="76" spans="1:13" ht="11.25" customHeight="1" x14ac:dyDescent="0.25">
      <c r="B76" s="2389"/>
      <c r="C76" s="2402" t="s">
        <v>1328</v>
      </c>
      <c r="D76" s="2422"/>
      <c r="E76" s="2499">
        <f>E71+E75</f>
        <v>0</v>
      </c>
      <c r="F76" s="2495">
        <f t="shared" ref="F76:M76" si="5">F71+F75</f>
        <v>0</v>
      </c>
      <c r="G76" s="2496">
        <f t="shared" si="5"/>
        <v>0</v>
      </c>
      <c r="H76" s="2497">
        <f t="shared" si="5"/>
        <v>0</v>
      </c>
      <c r="I76" s="2495">
        <f t="shared" si="5"/>
        <v>0</v>
      </c>
      <c r="J76" s="2498">
        <f t="shared" si="5"/>
        <v>0</v>
      </c>
      <c r="K76" s="2499">
        <f t="shared" si="5"/>
        <v>0</v>
      </c>
      <c r="L76" s="2495">
        <f t="shared" si="5"/>
        <v>0</v>
      </c>
      <c r="M76" s="2496">
        <f t="shared" si="5"/>
        <v>0</v>
      </c>
    </row>
    <row r="77" spans="1:13" ht="11.25" customHeight="1" x14ac:dyDescent="0.25">
      <c r="B77" s="2389"/>
      <c r="C77" s="2398" t="s">
        <v>1329</v>
      </c>
      <c r="D77" s="2422"/>
      <c r="E77" s="2504"/>
      <c r="F77" s="2500"/>
      <c r="G77" s="2503"/>
      <c r="H77" s="2502"/>
      <c r="I77" s="2500"/>
      <c r="J77" s="2503"/>
      <c r="K77" s="2504"/>
      <c r="L77" s="2500"/>
      <c r="M77" s="2501"/>
    </row>
    <row r="78" spans="1:13" ht="11.25" customHeight="1" x14ac:dyDescent="0.25">
      <c r="B78" s="2389"/>
      <c r="C78" s="2399" t="s">
        <v>1330</v>
      </c>
      <c r="D78" s="2422"/>
      <c r="E78" s="1665"/>
      <c r="F78" s="1661"/>
      <c r="G78" s="1662"/>
      <c r="H78" s="2484"/>
      <c r="I78" s="1661"/>
      <c r="J78" s="1664"/>
      <c r="K78" s="1665"/>
      <c r="L78" s="1661"/>
      <c r="M78" s="1662"/>
    </row>
    <row r="79" spans="1:13" ht="11.25" customHeight="1" x14ac:dyDescent="0.25">
      <c r="B79" s="2389"/>
      <c r="C79" s="2399" t="s">
        <v>1331</v>
      </c>
      <c r="D79" s="2422"/>
      <c r="E79" s="1665"/>
      <c r="F79" s="1661"/>
      <c r="G79" s="1662"/>
      <c r="H79" s="2484"/>
      <c r="I79" s="1661"/>
      <c r="J79" s="1664"/>
      <c r="K79" s="1665"/>
      <c r="L79" s="1661"/>
      <c r="M79" s="1662"/>
    </row>
    <row r="80" spans="1:13" ht="11.25" customHeight="1" x14ac:dyDescent="0.25">
      <c r="B80" s="2389"/>
      <c r="C80" s="2399" t="s">
        <v>1395</v>
      </c>
      <c r="D80" s="2422"/>
      <c r="E80" s="1665"/>
      <c r="F80" s="1661"/>
      <c r="G80" s="1662"/>
      <c r="H80" s="2484"/>
      <c r="I80" s="1661"/>
      <c r="J80" s="1664"/>
      <c r="K80" s="1665"/>
      <c r="L80" s="1661"/>
      <c r="M80" s="1662"/>
    </row>
    <row r="81" spans="2:13" ht="11.25" customHeight="1" x14ac:dyDescent="0.25">
      <c r="B81" s="2389"/>
      <c r="C81" s="2399" t="s">
        <v>241</v>
      </c>
      <c r="D81" s="2422"/>
      <c r="E81" s="1665"/>
      <c r="F81" s="1661"/>
      <c r="G81" s="1662"/>
      <c r="H81" s="2484"/>
      <c r="I81" s="1661"/>
      <c r="J81" s="1664"/>
      <c r="K81" s="1665"/>
      <c r="L81" s="1661"/>
      <c r="M81" s="1662"/>
    </row>
    <row r="82" spans="2:13" ht="11.25" customHeight="1" x14ac:dyDescent="0.25">
      <c r="B82" s="2389"/>
      <c r="C82" s="2399" t="s">
        <v>243</v>
      </c>
      <c r="D82" s="2422"/>
      <c r="E82" s="1665"/>
      <c r="F82" s="1661"/>
      <c r="G82" s="1662"/>
      <c r="H82" s="2484"/>
      <c r="I82" s="1661"/>
      <c r="J82" s="1664"/>
      <c r="K82" s="1665"/>
      <c r="L82" s="1661"/>
      <c r="M82" s="1662"/>
    </row>
    <row r="83" spans="2:13" ht="11.25" customHeight="1" x14ac:dyDescent="0.25">
      <c r="B83" s="2389"/>
      <c r="C83" s="2401" t="s">
        <v>375</v>
      </c>
      <c r="D83" s="2422"/>
      <c r="E83" s="2489">
        <f>SUM(E78:E82)</f>
        <v>0</v>
      </c>
      <c r="F83" s="2485">
        <f t="shared" ref="F83:M83" si="6">SUM(F78:F82)</f>
        <v>0</v>
      </c>
      <c r="G83" s="2486">
        <f t="shared" si="6"/>
        <v>0</v>
      </c>
      <c r="H83" s="2487">
        <f t="shared" si="6"/>
        <v>0</v>
      </c>
      <c r="I83" s="2485">
        <f t="shared" si="6"/>
        <v>0</v>
      </c>
      <c r="J83" s="2488">
        <f t="shared" si="6"/>
        <v>0</v>
      </c>
      <c r="K83" s="2489">
        <f t="shared" si="6"/>
        <v>0</v>
      </c>
      <c r="L83" s="2485">
        <f t="shared" si="6"/>
        <v>0</v>
      </c>
      <c r="M83" s="2486">
        <f t="shared" si="6"/>
        <v>0</v>
      </c>
    </row>
    <row r="84" spans="2:13" ht="11.25" customHeight="1" x14ac:dyDescent="0.25">
      <c r="B84" s="2389"/>
      <c r="C84" s="2399" t="s">
        <v>242</v>
      </c>
      <c r="D84" s="2422"/>
      <c r="E84" s="1665"/>
      <c r="F84" s="1661"/>
      <c r="G84" s="1662"/>
      <c r="H84" s="2484"/>
      <c r="I84" s="1661"/>
      <c r="J84" s="1664"/>
      <c r="K84" s="1665"/>
      <c r="L84" s="1661"/>
      <c r="M84" s="1662"/>
    </row>
    <row r="85" spans="2:13" ht="11.25" customHeight="1" x14ac:dyDescent="0.25">
      <c r="B85" s="2389"/>
      <c r="C85" s="2399" t="s">
        <v>1233</v>
      </c>
      <c r="D85" s="2422"/>
      <c r="E85" s="1665"/>
      <c r="F85" s="1661"/>
      <c r="G85" s="1662"/>
      <c r="H85" s="2484"/>
      <c r="I85" s="1661"/>
      <c r="J85" s="1664"/>
      <c r="K85" s="1665"/>
      <c r="L85" s="1661"/>
      <c r="M85" s="1662"/>
    </row>
    <row r="86" spans="2:13" ht="11.25" customHeight="1" x14ac:dyDescent="0.25">
      <c r="B86" s="2389"/>
      <c r="C86" s="2399" t="s">
        <v>1397</v>
      </c>
      <c r="D86" s="2422"/>
      <c r="E86" s="1665"/>
      <c r="F86" s="1661"/>
      <c r="G86" s="1662"/>
      <c r="H86" s="2484"/>
      <c r="I86" s="1661"/>
      <c r="J86" s="1664"/>
      <c r="K86" s="1665"/>
      <c r="L86" s="1661"/>
      <c r="M86" s="1662"/>
    </row>
    <row r="87" spans="2:13" ht="11.25" customHeight="1" x14ac:dyDescent="0.25">
      <c r="B87" s="2389"/>
      <c r="C87" s="2401" t="s">
        <v>1290</v>
      </c>
      <c r="D87" s="2422"/>
      <c r="E87" s="2494">
        <f>SUM(E84:E86)</f>
        <v>0</v>
      </c>
      <c r="F87" s="2490">
        <f t="shared" ref="F87:M87" si="7">SUM(F84:F86)</f>
        <v>0</v>
      </c>
      <c r="G87" s="2491">
        <f t="shared" si="7"/>
        <v>0</v>
      </c>
      <c r="H87" s="2492">
        <f t="shared" si="7"/>
        <v>0</v>
      </c>
      <c r="I87" s="2490">
        <f t="shared" si="7"/>
        <v>0</v>
      </c>
      <c r="J87" s="2493">
        <f t="shared" si="7"/>
        <v>0</v>
      </c>
      <c r="K87" s="2494">
        <f t="shared" si="7"/>
        <v>0</v>
      </c>
      <c r="L87" s="2490">
        <f t="shared" si="7"/>
        <v>0</v>
      </c>
      <c r="M87" s="2491">
        <f t="shared" si="7"/>
        <v>0</v>
      </c>
    </row>
    <row r="88" spans="2:13" ht="11.25" customHeight="1" x14ac:dyDescent="0.25">
      <c r="B88" s="2389"/>
      <c r="C88" s="2402" t="s">
        <v>1328</v>
      </c>
      <c r="D88" s="2422"/>
      <c r="E88" s="2499">
        <f>E83+E87</f>
        <v>0</v>
      </c>
      <c r="F88" s="2495">
        <f t="shared" ref="F88:M88" si="8">F83+F87</f>
        <v>0</v>
      </c>
      <c r="G88" s="2496">
        <f t="shared" si="8"/>
        <v>0</v>
      </c>
      <c r="H88" s="2497">
        <f t="shared" si="8"/>
        <v>0</v>
      </c>
      <c r="I88" s="2495">
        <f t="shared" si="8"/>
        <v>0</v>
      </c>
      <c r="J88" s="2498">
        <f t="shared" si="8"/>
        <v>0</v>
      </c>
      <c r="K88" s="2499">
        <f t="shared" si="8"/>
        <v>0</v>
      </c>
      <c r="L88" s="2495">
        <f t="shared" si="8"/>
        <v>0</v>
      </c>
      <c r="M88" s="2496">
        <f t="shared" si="8"/>
        <v>0</v>
      </c>
    </row>
    <row r="89" spans="2:13" ht="11.25" customHeight="1" x14ac:dyDescent="0.25">
      <c r="B89" s="2389"/>
      <c r="C89" s="2398" t="s">
        <v>687</v>
      </c>
      <c r="D89" s="2422"/>
      <c r="E89" s="2504"/>
      <c r="F89" s="2500"/>
      <c r="G89" s="2503"/>
      <c r="H89" s="2502"/>
      <c r="I89" s="2500"/>
      <c r="J89" s="2503"/>
      <c r="K89" s="2504"/>
      <c r="L89" s="2500"/>
      <c r="M89" s="2501"/>
    </row>
    <row r="90" spans="2:13" ht="11.25" customHeight="1" x14ac:dyDescent="0.25">
      <c r="B90" s="2389"/>
      <c r="C90" s="2399" t="s">
        <v>1234</v>
      </c>
      <c r="D90" s="2422"/>
      <c r="E90" s="1665"/>
      <c r="F90" s="1661"/>
      <c r="G90" s="1662"/>
      <c r="H90" s="2484"/>
      <c r="I90" s="1661"/>
      <c r="J90" s="1664"/>
      <c r="K90" s="1665"/>
      <c r="L90" s="1661"/>
      <c r="M90" s="1662"/>
    </row>
    <row r="91" spans="2:13" ht="11.25" customHeight="1" x14ac:dyDescent="0.25">
      <c r="B91" s="2389"/>
      <c r="C91" s="2399" t="s">
        <v>506</v>
      </c>
      <c r="D91" s="2422"/>
      <c r="E91" s="1665"/>
      <c r="F91" s="1661"/>
      <c r="G91" s="1662"/>
      <c r="H91" s="2484"/>
      <c r="I91" s="1661"/>
      <c r="J91" s="1664"/>
      <c r="K91" s="1665"/>
      <c r="L91" s="1661"/>
      <c r="M91" s="1662"/>
    </row>
    <row r="92" spans="2:13" ht="11.25" customHeight="1" x14ac:dyDescent="0.25">
      <c r="B92" s="2389"/>
      <c r="C92" s="2401" t="s">
        <v>375</v>
      </c>
      <c r="D92" s="2422"/>
      <c r="E92" s="2489">
        <f>SUM(E90:E91)</f>
        <v>0</v>
      </c>
      <c r="F92" s="2485">
        <f t="shared" ref="F92:M92" si="9">SUM(F90:F91)</f>
        <v>0</v>
      </c>
      <c r="G92" s="2486">
        <f t="shared" si="9"/>
        <v>0</v>
      </c>
      <c r="H92" s="2487">
        <f t="shared" si="9"/>
        <v>0</v>
      </c>
      <c r="I92" s="2485">
        <f t="shared" si="9"/>
        <v>0</v>
      </c>
      <c r="J92" s="2488">
        <f t="shared" si="9"/>
        <v>0</v>
      </c>
      <c r="K92" s="2489">
        <f t="shared" si="9"/>
        <v>0</v>
      </c>
      <c r="L92" s="2485">
        <f t="shared" si="9"/>
        <v>0</v>
      </c>
      <c r="M92" s="2486">
        <f t="shared" si="9"/>
        <v>0</v>
      </c>
    </row>
    <row r="93" spans="2:13" ht="11.25" customHeight="1" x14ac:dyDescent="0.25">
      <c r="B93" s="2389"/>
      <c r="C93" s="2399" t="s">
        <v>507</v>
      </c>
      <c r="D93" s="2422"/>
      <c r="E93" s="1665"/>
      <c r="F93" s="1661"/>
      <c r="G93" s="1662"/>
      <c r="H93" s="2484"/>
      <c r="I93" s="1661"/>
      <c r="J93" s="1664"/>
      <c r="K93" s="1665"/>
      <c r="L93" s="1661"/>
      <c r="M93" s="1662"/>
    </row>
    <row r="94" spans="2:13" ht="11.25" customHeight="1" x14ac:dyDescent="0.25">
      <c r="B94" s="2389"/>
      <c r="C94" s="2399" t="s">
        <v>508</v>
      </c>
      <c r="D94" s="2422"/>
      <c r="E94" s="1665"/>
      <c r="F94" s="1661"/>
      <c r="G94" s="1662"/>
      <c r="H94" s="2484"/>
      <c r="I94" s="1661"/>
      <c r="J94" s="1664"/>
      <c r="K94" s="1665"/>
      <c r="L94" s="1661"/>
      <c r="M94" s="1662"/>
    </row>
    <row r="95" spans="2:13" ht="11.25" customHeight="1" x14ac:dyDescent="0.25">
      <c r="B95" s="2389"/>
      <c r="C95" s="2399" t="s">
        <v>688</v>
      </c>
      <c r="D95" s="2422"/>
      <c r="E95" s="1665"/>
      <c r="F95" s="1661"/>
      <c r="G95" s="1662"/>
      <c r="H95" s="2484"/>
      <c r="I95" s="1661"/>
      <c r="J95" s="1664"/>
      <c r="K95" s="1665"/>
      <c r="L95" s="1661"/>
      <c r="M95" s="1662"/>
    </row>
    <row r="96" spans="2:13" ht="11.25" customHeight="1" x14ac:dyDescent="0.25">
      <c r="B96" s="2389"/>
      <c r="C96" s="2401" t="s">
        <v>1290</v>
      </c>
      <c r="D96" s="2422"/>
      <c r="E96" s="2494">
        <f>SUM(E93:E95)</f>
        <v>0</v>
      </c>
      <c r="F96" s="2490">
        <f t="shared" ref="F96:M96" si="10">SUM(F93:F95)</f>
        <v>0</v>
      </c>
      <c r="G96" s="2491">
        <f t="shared" si="10"/>
        <v>0</v>
      </c>
      <c r="H96" s="2492">
        <f t="shared" si="10"/>
        <v>0</v>
      </c>
      <c r="I96" s="2490">
        <f t="shared" si="10"/>
        <v>0</v>
      </c>
      <c r="J96" s="2493">
        <f t="shared" si="10"/>
        <v>0</v>
      </c>
      <c r="K96" s="2494">
        <f t="shared" si="10"/>
        <v>0</v>
      </c>
      <c r="L96" s="2490">
        <f t="shared" si="10"/>
        <v>0</v>
      </c>
      <c r="M96" s="2491">
        <f t="shared" si="10"/>
        <v>0</v>
      </c>
    </row>
    <row r="97" spans="1:13" ht="11.25" customHeight="1" x14ac:dyDescent="0.25">
      <c r="B97" s="2389"/>
      <c r="C97" s="2402" t="s">
        <v>1328</v>
      </c>
      <c r="D97" s="2422"/>
      <c r="E97" s="2499">
        <f>E92+E96</f>
        <v>0</v>
      </c>
      <c r="F97" s="2495">
        <f t="shared" ref="F97:M97" si="11">F92+F96</f>
        <v>0</v>
      </c>
      <c r="G97" s="2496">
        <f t="shared" si="11"/>
        <v>0</v>
      </c>
      <c r="H97" s="2497">
        <f t="shared" si="11"/>
        <v>0</v>
      </c>
      <c r="I97" s="2495">
        <f t="shared" si="11"/>
        <v>0</v>
      </c>
      <c r="J97" s="2498">
        <f t="shared" si="11"/>
        <v>0</v>
      </c>
      <c r="K97" s="2499">
        <f t="shared" si="11"/>
        <v>0</v>
      </c>
      <c r="L97" s="2495">
        <f t="shared" si="11"/>
        <v>0</v>
      </c>
      <c r="M97" s="2496">
        <f t="shared" si="11"/>
        <v>0</v>
      </c>
    </row>
    <row r="98" spans="1:13" ht="11.25" customHeight="1" x14ac:dyDescent="0.25">
      <c r="B98" s="2389"/>
      <c r="C98" s="2398" t="s">
        <v>691</v>
      </c>
      <c r="D98" s="2422"/>
      <c r="E98" s="2504"/>
      <c r="F98" s="2500"/>
      <c r="G98" s="2503"/>
      <c r="H98" s="2502"/>
      <c r="I98" s="2500"/>
      <c r="J98" s="2503"/>
      <c r="K98" s="2504"/>
      <c r="L98" s="2500"/>
      <c r="M98" s="2501"/>
    </row>
    <row r="99" spans="1:13" ht="11.25" customHeight="1" x14ac:dyDescent="0.25">
      <c r="B99" s="2389"/>
      <c r="C99" s="2399" t="s">
        <v>743</v>
      </c>
      <c r="D99" s="2422"/>
      <c r="E99" s="1671"/>
      <c r="F99" s="1669"/>
      <c r="G99" s="1670"/>
      <c r="H99" s="2505"/>
      <c r="I99" s="1669"/>
      <c r="J99" s="2506"/>
      <c r="K99" s="1671"/>
      <c r="L99" s="1669"/>
      <c r="M99" s="1670"/>
    </row>
    <row r="100" spans="1:13" ht="11.25" customHeight="1" x14ac:dyDescent="0.25">
      <c r="B100" s="2389"/>
      <c r="C100" s="2401" t="s">
        <v>375</v>
      </c>
      <c r="D100" s="2422"/>
      <c r="E100" s="2504">
        <f>SUM(E99)</f>
        <v>0</v>
      </c>
      <c r="F100" s="2500">
        <f t="shared" ref="F100:M100" si="12">SUM(F99)</f>
        <v>0</v>
      </c>
      <c r="G100" s="2501">
        <f t="shared" si="12"/>
        <v>0</v>
      </c>
      <c r="H100" s="2502">
        <f t="shared" si="12"/>
        <v>0</v>
      </c>
      <c r="I100" s="2500">
        <f t="shared" si="12"/>
        <v>0</v>
      </c>
      <c r="J100" s="2503">
        <f t="shared" si="12"/>
        <v>0</v>
      </c>
      <c r="K100" s="2504">
        <f t="shared" si="12"/>
        <v>0</v>
      </c>
      <c r="L100" s="2500">
        <f t="shared" si="12"/>
        <v>0</v>
      </c>
      <c r="M100" s="2501">
        <f t="shared" si="12"/>
        <v>0</v>
      </c>
    </row>
    <row r="101" spans="1:13" ht="11.25" customHeight="1" x14ac:dyDescent="0.25">
      <c r="B101" s="2389"/>
      <c r="C101" s="2399" t="s">
        <v>692</v>
      </c>
      <c r="D101" s="2422"/>
      <c r="E101" s="1665"/>
      <c r="F101" s="1661"/>
      <c r="G101" s="1662"/>
      <c r="H101" s="2484"/>
      <c r="I101" s="1661"/>
      <c r="J101" s="1664"/>
      <c r="K101" s="1665"/>
      <c r="L101" s="1661"/>
      <c r="M101" s="1662"/>
    </row>
    <row r="102" spans="1:13" ht="11.25" customHeight="1" x14ac:dyDescent="0.25">
      <c r="B102" s="2389"/>
      <c r="C102" s="2399" t="s">
        <v>693</v>
      </c>
      <c r="D102" s="2422"/>
      <c r="E102" s="1665"/>
      <c r="F102" s="1661"/>
      <c r="G102" s="1662"/>
      <c r="H102" s="2484"/>
      <c r="I102" s="1661"/>
      <c r="J102" s="1664"/>
      <c r="K102" s="1665"/>
      <c r="L102" s="1661"/>
      <c r="M102" s="1662"/>
    </row>
    <row r="103" spans="1:13" ht="11.25" customHeight="1" x14ac:dyDescent="0.25">
      <c r="B103" s="2389"/>
      <c r="C103" s="2399" t="s">
        <v>883</v>
      </c>
      <c r="D103" s="2422"/>
      <c r="E103" s="1665"/>
      <c r="F103" s="1661"/>
      <c r="G103" s="1662"/>
      <c r="H103" s="2484"/>
      <c r="I103" s="1661"/>
      <c r="J103" s="1664"/>
      <c r="K103" s="1665"/>
      <c r="L103" s="1661"/>
      <c r="M103" s="1662"/>
    </row>
    <row r="104" spans="1:13" ht="11.25" customHeight="1" x14ac:dyDescent="0.25">
      <c r="B104" s="2389"/>
      <c r="C104" s="2399" t="s">
        <v>884</v>
      </c>
      <c r="D104" s="2422"/>
      <c r="E104" s="1665"/>
      <c r="F104" s="1661"/>
      <c r="G104" s="1662"/>
      <c r="H104" s="2484"/>
      <c r="I104" s="1661"/>
      <c r="J104" s="1664"/>
      <c r="K104" s="1665"/>
      <c r="L104" s="1661"/>
      <c r="M104" s="1662"/>
    </row>
    <row r="105" spans="1:13" ht="11.25" customHeight="1" x14ac:dyDescent="0.25">
      <c r="B105" s="2389"/>
      <c r="C105" s="2399" t="s">
        <v>198</v>
      </c>
      <c r="D105" s="2422"/>
      <c r="E105" s="1665"/>
      <c r="F105" s="1661"/>
      <c r="G105" s="1662"/>
      <c r="H105" s="2484"/>
      <c r="I105" s="1661"/>
      <c r="J105" s="1664"/>
      <c r="K105" s="1665"/>
      <c r="L105" s="1661"/>
      <c r="M105" s="1662"/>
    </row>
    <row r="106" spans="1:13" ht="11.25" customHeight="1" x14ac:dyDescent="0.25">
      <c r="B106" s="2389"/>
      <c r="C106" s="2401" t="s">
        <v>1290</v>
      </c>
      <c r="D106" s="2422"/>
      <c r="E106" s="2494">
        <f t="shared" ref="E106:M106" si="13">SUM(E101:E105)</f>
        <v>0</v>
      </c>
      <c r="F106" s="2490">
        <f t="shared" si="13"/>
        <v>0</v>
      </c>
      <c r="G106" s="2491">
        <f t="shared" si="13"/>
        <v>0</v>
      </c>
      <c r="H106" s="2492">
        <f t="shared" si="13"/>
        <v>0</v>
      </c>
      <c r="I106" s="2490">
        <f t="shared" si="13"/>
        <v>0</v>
      </c>
      <c r="J106" s="2493">
        <f t="shared" si="13"/>
        <v>0</v>
      </c>
      <c r="K106" s="2494">
        <f t="shared" si="13"/>
        <v>0</v>
      </c>
      <c r="L106" s="2490">
        <f t="shared" si="13"/>
        <v>0</v>
      </c>
      <c r="M106" s="2491">
        <f t="shared" si="13"/>
        <v>0</v>
      </c>
    </row>
    <row r="107" spans="1:13" ht="11.25" customHeight="1" x14ac:dyDescent="0.25">
      <c r="B107" s="2389"/>
      <c r="C107" s="2402" t="s">
        <v>1328</v>
      </c>
      <c r="D107" s="2422"/>
      <c r="E107" s="2499">
        <f>E100+E106</f>
        <v>0</v>
      </c>
      <c r="F107" s="2495">
        <f t="shared" ref="F107:M107" si="14">F100+F106</f>
        <v>0</v>
      </c>
      <c r="G107" s="2496">
        <f t="shared" si="14"/>
        <v>0</v>
      </c>
      <c r="H107" s="2497">
        <f t="shared" si="14"/>
        <v>0</v>
      </c>
      <c r="I107" s="2495">
        <f t="shared" si="14"/>
        <v>0</v>
      </c>
      <c r="J107" s="2498">
        <f t="shared" si="14"/>
        <v>0</v>
      </c>
      <c r="K107" s="2499">
        <f t="shared" si="14"/>
        <v>0</v>
      </c>
      <c r="L107" s="2495">
        <f t="shared" si="14"/>
        <v>0</v>
      </c>
      <c r="M107" s="2496">
        <f t="shared" si="14"/>
        <v>0</v>
      </c>
    </row>
    <row r="108" spans="1:13" ht="5.15" customHeight="1" x14ac:dyDescent="0.25">
      <c r="B108" s="2389"/>
      <c r="C108" s="2403"/>
      <c r="D108" s="2423"/>
      <c r="E108" s="1146"/>
      <c r="F108" s="1142"/>
      <c r="G108" s="1143"/>
      <c r="H108" s="1144"/>
      <c r="I108" s="1142"/>
      <c r="J108" s="1145"/>
      <c r="K108" s="1146"/>
      <c r="L108" s="1142"/>
      <c r="M108" s="1143"/>
    </row>
    <row r="109" spans="1:13" ht="25" customHeight="1" x14ac:dyDescent="0.3">
      <c r="A109" s="2722" t="s">
        <v>2087</v>
      </c>
      <c r="B109" s="2380"/>
      <c r="C109" s="2381"/>
      <c r="D109" s="2382"/>
      <c r="E109" s="2383" t="str">
        <f>head1b</f>
        <v>2009/10</v>
      </c>
      <c r="F109" s="1123" t="str">
        <f>head1A</f>
        <v>2010/11</v>
      </c>
      <c r="G109" s="1124" t="str">
        <f>Head1</f>
        <v>2011/12</v>
      </c>
      <c r="H109" s="2685" t="str">
        <f>Head2</f>
        <v>Current Year 2012/13</v>
      </c>
      <c r="I109" s="2686"/>
      <c r="J109" s="2687"/>
      <c r="K109" s="2685" t="str">
        <f>Head3</f>
        <v>2013/14 Medium Term Revenue &amp; Expenditure Framework</v>
      </c>
      <c r="L109" s="2686"/>
      <c r="M109" s="2687"/>
    </row>
    <row r="110" spans="1:13" ht="25" customHeight="1" x14ac:dyDescent="0.25">
      <c r="A110" s="2722"/>
      <c r="B110" s="2384" t="s">
        <v>1988</v>
      </c>
      <c r="C110" s="1585"/>
      <c r="D110" s="1586"/>
      <c r="E110" s="2385" t="str">
        <f>Head5A</f>
        <v>Outcome</v>
      </c>
      <c r="F110" s="2386" t="str">
        <f>Head5A</f>
        <v>Outcome</v>
      </c>
      <c r="G110" s="2387" t="str">
        <f>Head5A</f>
        <v>Outcome</v>
      </c>
      <c r="H110" s="2388" t="str">
        <f>Head6</f>
        <v>Original Budget</v>
      </c>
      <c r="I110" s="2386" t="str">
        <f>Head7</f>
        <v>Adjusted Budget</v>
      </c>
      <c r="J110" s="2387" t="str">
        <f>Head8</f>
        <v>Full Year Forecast</v>
      </c>
      <c r="K110" s="2388" t="str">
        <f>Head9</f>
        <v>Budget Year 2013/14</v>
      </c>
      <c r="L110" s="2386" t="str">
        <f>Head10</f>
        <v>Budget Year +1 2014/15</v>
      </c>
      <c r="M110" s="2387" t="str">
        <f>Head11</f>
        <v>Budget Year +2 2015/16</v>
      </c>
    </row>
    <row r="111" spans="1:13" ht="11.25" customHeight="1" x14ac:dyDescent="0.3">
      <c r="B111" s="2389"/>
      <c r="C111" s="2390" t="s">
        <v>200</v>
      </c>
      <c r="D111" s="2422"/>
      <c r="E111" s="556"/>
      <c r="F111" s="2391"/>
      <c r="G111" s="2392"/>
      <c r="H111" s="2393"/>
      <c r="I111" s="2394"/>
      <c r="J111" s="2395"/>
      <c r="K111" s="2396"/>
      <c r="L111" s="2394"/>
      <c r="M111" s="2397"/>
    </row>
    <row r="112" spans="1:13" ht="11.25" customHeight="1" x14ac:dyDescent="0.25">
      <c r="B112" s="2389"/>
      <c r="C112" s="2398" t="s">
        <v>1853</v>
      </c>
      <c r="D112" s="2422"/>
      <c r="E112" s="1134"/>
      <c r="F112" s="1130"/>
      <c r="G112" s="1133"/>
      <c r="H112" s="1065"/>
      <c r="I112" s="1063"/>
      <c r="J112" s="1066"/>
      <c r="K112" s="1067"/>
      <c r="L112" s="1063"/>
      <c r="M112" s="1064"/>
    </row>
    <row r="113" spans="2:13" ht="11.25" customHeight="1" x14ac:dyDescent="0.25">
      <c r="B113" s="2389"/>
      <c r="C113" s="2399" t="s">
        <v>1641</v>
      </c>
      <c r="D113" s="2422"/>
      <c r="E113" s="1665"/>
      <c r="F113" s="1661"/>
      <c r="G113" s="1662"/>
      <c r="H113" s="2484"/>
      <c r="I113" s="1661"/>
      <c r="J113" s="1664"/>
      <c r="K113" s="1665"/>
      <c r="L113" s="1661"/>
      <c r="M113" s="1662"/>
    </row>
    <row r="114" spans="2:13" ht="11.25" customHeight="1" x14ac:dyDescent="0.25">
      <c r="B114" s="2389"/>
      <c r="C114" s="2399" t="s">
        <v>1852</v>
      </c>
      <c r="D114" s="2422"/>
      <c r="E114" s="1665"/>
      <c r="F114" s="1661"/>
      <c r="G114" s="1662"/>
      <c r="H114" s="2484"/>
      <c r="I114" s="1661"/>
      <c r="J114" s="1664"/>
      <c r="K114" s="1665"/>
      <c r="L114" s="1661"/>
      <c r="M114" s="1662"/>
    </row>
    <row r="115" spans="2:13" ht="11.25" customHeight="1" x14ac:dyDescent="0.25">
      <c r="B115" s="2400">
        <v>8</v>
      </c>
      <c r="C115" s="2399" t="s">
        <v>131</v>
      </c>
      <c r="D115" s="2422"/>
      <c r="E115" s="1665"/>
      <c r="F115" s="1661"/>
      <c r="G115" s="1662"/>
      <c r="H115" s="2484"/>
      <c r="I115" s="1661"/>
      <c r="J115" s="1664"/>
      <c r="K115" s="1665"/>
      <c r="L115" s="1661"/>
      <c r="M115" s="1662"/>
    </row>
    <row r="116" spans="2:13" ht="11.25" customHeight="1" x14ac:dyDescent="0.25">
      <c r="B116" s="2400">
        <v>10</v>
      </c>
      <c r="C116" s="2399" t="s">
        <v>132</v>
      </c>
      <c r="D116" s="2422"/>
      <c r="E116" s="1665"/>
      <c r="F116" s="1661"/>
      <c r="G116" s="1662"/>
      <c r="H116" s="2484"/>
      <c r="I116" s="1661"/>
      <c r="J116" s="1664"/>
      <c r="K116" s="1665"/>
      <c r="L116" s="1661"/>
      <c r="M116" s="1662"/>
    </row>
    <row r="117" spans="2:13" ht="11.25" customHeight="1" x14ac:dyDescent="0.25">
      <c r="B117" s="2400"/>
      <c r="C117" s="2401" t="s">
        <v>375</v>
      </c>
      <c r="D117" s="2422"/>
      <c r="E117" s="2489">
        <f>SUM(E113:E116)</f>
        <v>0</v>
      </c>
      <c r="F117" s="2485">
        <f t="shared" ref="F117:M117" si="15">SUM(F113:F116)</f>
        <v>0</v>
      </c>
      <c r="G117" s="2486">
        <f t="shared" si="15"/>
        <v>0</v>
      </c>
      <c r="H117" s="2487">
        <f t="shared" si="15"/>
        <v>0</v>
      </c>
      <c r="I117" s="2485">
        <f t="shared" si="15"/>
        <v>0</v>
      </c>
      <c r="J117" s="2488">
        <f t="shared" si="15"/>
        <v>0</v>
      </c>
      <c r="K117" s="2489">
        <f t="shared" si="15"/>
        <v>0</v>
      </c>
      <c r="L117" s="2485">
        <f t="shared" si="15"/>
        <v>0</v>
      </c>
      <c r="M117" s="2486">
        <f t="shared" si="15"/>
        <v>0</v>
      </c>
    </row>
    <row r="118" spans="2:13" ht="11.25" customHeight="1" x14ac:dyDescent="0.25">
      <c r="B118" s="2400">
        <v>9</v>
      </c>
      <c r="C118" s="2399" t="s">
        <v>504</v>
      </c>
      <c r="D118" s="2422"/>
      <c r="E118" s="1665"/>
      <c r="F118" s="1661"/>
      <c r="G118" s="1662"/>
      <c r="H118" s="2484"/>
      <c r="I118" s="1661"/>
      <c r="J118" s="1664"/>
      <c r="K118" s="1665"/>
      <c r="L118" s="1661"/>
      <c r="M118" s="1662"/>
    </row>
    <row r="119" spans="2:13" ht="11.25" customHeight="1" x14ac:dyDescent="0.25">
      <c r="B119" s="2400">
        <v>10</v>
      </c>
      <c r="C119" s="2399" t="s">
        <v>505</v>
      </c>
      <c r="D119" s="2422"/>
      <c r="E119" s="1665"/>
      <c r="F119" s="1661"/>
      <c r="G119" s="1662"/>
      <c r="H119" s="2484"/>
      <c r="I119" s="1661"/>
      <c r="J119" s="1664"/>
      <c r="K119" s="1665"/>
      <c r="L119" s="1661"/>
      <c r="M119" s="1662"/>
    </row>
    <row r="120" spans="2:13" ht="11.25" customHeight="1" x14ac:dyDescent="0.25">
      <c r="B120" s="2389"/>
      <c r="C120" s="2399" t="s">
        <v>971</v>
      </c>
      <c r="D120" s="2422"/>
      <c r="E120" s="1665"/>
      <c r="F120" s="1661"/>
      <c r="G120" s="1662"/>
      <c r="H120" s="2484"/>
      <c r="I120" s="1661"/>
      <c r="J120" s="1664"/>
      <c r="K120" s="1665"/>
      <c r="L120" s="1661"/>
      <c r="M120" s="1662"/>
    </row>
    <row r="121" spans="2:13" ht="11.25" customHeight="1" x14ac:dyDescent="0.25">
      <c r="B121" s="2389"/>
      <c r="C121" s="2401" t="s">
        <v>1290</v>
      </c>
      <c r="D121" s="2422"/>
      <c r="E121" s="2494">
        <f>SUM(E118:E120)</f>
        <v>0</v>
      </c>
      <c r="F121" s="2490">
        <f t="shared" ref="F121:M121" si="16">SUM(F118:F120)</f>
        <v>0</v>
      </c>
      <c r="G121" s="2491">
        <f t="shared" si="16"/>
        <v>0</v>
      </c>
      <c r="H121" s="2492">
        <f t="shared" si="16"/>
        <v>0</v>
      </c>
      <c r="I121" s="2490">
        <f t="shared" si="16"/>
        <v>0</v>
      </c>
      <c r="J121" s="2493">
        <f t="shared" si="16"/>
        <v>0</v>
      </c>
      <c r="K121" s="2494">
        <f t="shared" si="16"/>
        <v>0</v>
      </c>
      <c r="L121" s="2490">
        <f t="shared" si="16"/>
        <v>0</v>
      </c>
      <c r="M121" s="2491">
        <f t="shared" si="16"/>
        <v>0</v>
      </c>
    </row>
    <row r="122" spans="2:13" ht="11.25" customHeight="1" x14ac:dyDescent="0.25">
      <c r="B122" s="2389"/>
      <c r="C122" s="2402" t="s">
        <v>1328</v>
      </c>
      <c r="D122" s="2422"/>
      <c r="E122" s="2499">
        <f>E117+E121</f>
        <v>0</v>
      </c>
      <c r="F122" s="2495">
        <f t="shared" ref="F122:M122" si="17">F117+F121</f>
        <v>0</v>
      </c>
      <c r="G122" s="2496">
        <f t="shared" si="17"/>
        <v>0</v>
      </c>
      <c r="H122" s="2497">
        <f t="shared" si="17"/>
        <v>0</v>
      </c>
      <c r="I122" s="2495">
        <f t="shared" si="17"/>
        <v>0</v>
      </c>
      <c r="J122" s="2498">
        <f t="shared" si="17"/>
        <v>0</v>
      </c>
      <c r="K122" s="2499">
        <f t="shared" si="17"/>
        <v>0</v>
      </c>
      <c r="L122" s="2495">
        <f t="shared" si="17"/>
        <v>0</v>
      </c>
      <c r="M122" s="2496">
        <f t="shared" si="17"/>
        <v>0</v>
      </c>
    </row>
    <row r="123" spans="2:13" ht="11.25" customHeight="1" x14ac:dyDescent="0.25">
      <c r="B123" s="2389"/>
      <c r="C123" s="2398" t="s">
        <v>1329</v>
      </c>
      <c r="D123" s="2422"/>
      <c r="E123" s="2504"/>
      <c r="F123" s="2500"/>
      <c r="G123" s="2503"/>
      <c r="H123" s="2502"/>
      <c r="I123" s="2500"/>
      <c r="J123" s="2503"/>
      <c r="K123" s="2504"/>
      <c r="L123" s="2500"/>
      <c r="M123" s="2501"/>
    </row>
    <row r="124" spans="2:13" ht="11.25" customHeight="1" x14ac:dyDescent="0.25">
      <c r="B124" s="2389"/>
      <c r="C124" s="2399" t="s">
        <v>1330</v>
      </c>
      <c r="D124" s="2422"/>
      <c r="E124" s="1665"/>
      <c r="F124" s="1661"/>
      <c r="G124" s="1662"/>
      <c r="H124" s="2484"/>
      <c r="I124" s="1661"/>
      <c r="J124" s="1664"/>
      <c r="K124" s="1665"/>
      <c r="L124" s="1661"/>
      <c r="M124" s="1662"/>
    </row>
    <row r="125" spans="2:13" ht="11.25" customHeight="1" x14ac:dyDescent="0.25">
      <c r="B125" s="2389"/>
      <c r="C125" s="2399" t="s">
        <v>1331</v>
      </c>
      <c r="D125" s="2422"/>
      <c r="E125" s="1665"/>
      <c r="F125" s="1661"/>
      <c r="G125" s="1662"/>
      <c r="H125" s="2484"/>
      <c r="I125" s="1661"/>
      <c r="J125" s="1664"/>
      <c r="K125" s="1665"/>
      <c r="L125" s="1661"/>
      <c r="M125" s="1662"/>
    </row>
    <row r="126" spans="2:13" ht="11.25" customHeight="1" x14ac:dyDescent="0.25">
      <c r="B126" s="2389"/>
      <c r="C126" s="2399" t="s">
        <v>1395</v>
      </c>
      <c r="D126" s="2422"/>
      <c r="E126" s="1665"/>
      <c r="F126" s="1661"/>
      <c r="G126" s="1662"/>
      <c r="H126" s="2484"/>
      <c r="I126" s="1661"/>
      <c r="J126" s="1664"/>
      <c r="K126" s="1665"/>
      <c r="L126" s="1661"/>
      <c r="M126" s="1662"/>
    </row>
    <row r="127" spans="2:13" ht="11.25" customHeight="1" x14ac:dyDescent="0.25">
      <c r="B127" s="2389"/>
      <c r="C127" s="2399" t="s">
        <v>241</v>
      </c>
      <c r="D127" s="2422"/>
      <c r="E127" s="1665"/>
      <c r="F127" s="1661"/>
      <c r="G127" s="1662"/>
      <c r="H127" s="2484"/>
      <c r="I127" s="1661"/>
      <c r="J127" s="1664"/>
      <c r="K127" s="1665"/>
      <c r="L127" s="1661"/>
      <c r="M127" s="1662"/>
    </row>
    <row r="128" spans="2:13" ht="11.25" customHeight="1" x14ac:dyDescent="0.25">
      <c r="B128" s="2389"/>
      <c r="C128" s="2399" t="s">
        <v>243</v>
      </c>
      <c r="D128" s="2422"/>
      <c r="E128" s="1665"/>
      <c r="F128" s="1661"/>
      <c r="G128" s="1662"/>
      <c r="H128" s="2484"/>
      <c r="I128" s="1661"/>
      <c r="J128" s="1664"/>
      <c r="K128" s="1665"/>
      <c r="L128" s="1661"/>
      <c r="M128" s="1662"/>
    </row>
    <row r="129" spans="2:13" ht="11.25" customHeight="1" x14ac:dyDescent="0.25">
      <c r="B129" s="2389"/>
      <c r="C129" s="2401" t="s">
        <v>375</v>
      </c>
      <c r="D129" s="2422"/>
      <c r="E129" s="2489">
        <f>SUM(E124:E128)</f>
        <v>0</v>
      </c>
      <c r="F129" s="2485">
        <f t="shared" ref="F129:M129" si="18">SUM(F124:F128)</f>
        <v>0</v>
      </c>
      <c r="G129" s="2486">
        <f t="shared" si="18"/>
        <v>0</v>
      </c>
      <c r="H129" s="2487">
        <f t="shared" si="18"/>
        <v>0</v>
      </c>
      <c r="I129" s="2485">
        <f t="shared" si="18"/>
        <v>0</v>
      </c>
      <c r="J129" s="2488">
        <f t="shared" si="18"/>
        <v>0</v>
      </c>
      <c r="K129" s="2489">
        <f t="shared" si="18"/>
        <v>0</v>
      </c>
      <c r="L129" s="2485">
        <f t="shared" si="18"/>
        <v>0</v>
      </c>
      <c r="M129" s="2486">
        <f t="shared" si="18"/>
        <v>0</v>
      </c>
    </row>
    <row r="130" spans="2:13" ht="11.25" customHeight="1" x14ac:dyDescent="0.25">
      <c r="B130" s="2389"/>
      <c r="C130" s="2399" t="s">
        <v>242</v>
      </c>
      <c r="D130" s="2422"/>
      <c r="E130" s="1665"/>
      <c r="F130" s="1661"/>
      <c r="G130" s="1662"/>
      <c r="H130" s="2484"/>
      <c r="I130" s="1661"/>
      <c r="J130" s="1664"/>
      <c r="K130" s="1665"/>
      <c r="L130" s="1661"/>
      <c r="M130" s="1662"/>
    </row>
    <row r="131" spans="2:13" ht="11.25" customHeight="1" x14ac:dyDescent="0.25">
      <c r="B131" s="2389"/>
      <c r="C131" s="2399" t="s">
        <v>1233</v>
      </c>
      <c r="D131" s="2422"/>
      <c r="E131" s="1665"/>
      <c r="F131" s="1661"/>
      <c r="G131" s="1662"/>
      <c r="H131" s="2484"/>
      <c r="I131" s="1661"/>
      <c r="J131" s="1664"/>
      <c r="K131" s="1665"/>
      <c r="L131" s="1661"/>
      <c r="M131" s="1662"/>
    </row>
    <row r="132" spans="2:13" ht="11.25" customHeight="1" x14ac:dyDescent="0.25">
      <c r="B132" s="2389"/>
      <c r="C132" s="2399" t="s">
        <v>1397</v>
      </c>
      <c r="D132" s="2422"/>
      <c r="E132" s="1665"/>
      <c r="F132" s="1661"/>
      <c r="G132" s="1662"/>
      <c r="H132" s="2484"/>
      <c r="I132" s="1661"/>
      <c r="J132" s="1664"/>
      <c r="K132" s="1665"/>
      <c r="L132" s="1661"/>
      <c r="M132" s="1662"/>
    </row>
    <row r="133" spans="2:13" ht="11.25" customHeight="1" x14ac:dyDescent="0.25">
      <c r="B133" s="2389"/>
      <c r="C133" s="2401" t="s">
        <v>1290</v>
      </c>
      <c r="D133" s="2422"/>
      <c r="E133" s="2494">
        <f>SUM(E130:E132)</f>
        <v>0</v>
      </c>
      <c r="F133" s="2490">
        <f t="shared" ref="F133:M133" si="19">SUM(F130:F132)</f>
        <v>0</v>
      </c>
      <c r="G133" s="2491">
        <f t="shared" si="19"/>
        <v>0</v>
      </c>
      <c r="H133" s="2492">
        <f t="shared" si="19"/>
        <v>0</v>
      </c>
      <c r="I133" s="2490">
        <f t="shared" si="19"/>
        <v>0</v>
      </c>
      <c r="J133" s="2493">
        <f t="shared" si="19"/>
        <v>0</v>
      </c>
      <c r="K133" s="2494">
        <f t="shared" si="19"/>
        <v>0</v>
      </c>
      <c r="L133" s="2490">
        <f t="shared" si="19"/>
        <v>0</v>
      </c>
      <c r="M133" s="2491">
        <f t="shared" si="19"/>
        <v>0</v>
      </c>
    </row>
    <row r="134" spans="2:13" ht="11.25" customHeight="1" x14ac:dyDescent="0.25">
      <c r="B134" s="2389"/>
      <c r="C134" s="2402" t="s">
        <v>1328</v>
      </c>
      <c r="D134" s="2422"/>
      <c r="E134" s="2499">
        <f>E129+E133</f>
        <v>0</v>
      </c>
      <c r="F134" s="2495">
        <f t="shared" ref="F134:M134" si="20">F129+F133</f>
        <v>0</v>
      </c>
      <c r="G134" s="2496">
        <f t="shared" si="20"/>
        <v>0</v>
      </c>
      <c r="H134" s="2497">
        <f t="shared" si="20"/>
        <v>0</v>
      </c>
      <c r="I134" s="2495">
        <f t="shared" si="20"/>
        <v>0</v>
      </c>
      <c r="J134" s="2498">
        <f t="shared" si="20"/>
        <v>0</v>
      </c>
      <c r="K134" s="2499">
        <f t="shared" si="20"/>
        <v>0</v>
      </c>
      <c r="L134" s="2495">
        <f t="shared" si="20"/>
        <v>0</v>
      </c>
      <c r="M134" s="2496">
        <f t="shared" si="20"/>
        <v>0</v>
      </c>
    </row>
    <row r="135" spans="2:13" ht="11.25" customHeight="1" x14ac:dyDescent="0.25">
      <c r="B135" s="2389"/>
      <c r="C135" s="2398" t="s">
        <v>687</v>
      </c>
      <c r="D135" s="2422"/>
      <c r="E135" s="2504"/>
      <c r="F135" s="2500"/>
      <c r="G135" s="2503"/>
      <c r="H135" s="2502"/>
      <c r="I135" s="2500"/>
      <c r="J135" s="2503"/>
      <c r="K135" s="2504"/>
      <c r="L135" s="2500"/>
      <c r="M135" s="2501"/>
    </row>
    <row r="136" spans="2:13" ht="11.25" customHeight="1" x14ac:dyDescent="0.25">
      <c r="B136" s="2389"/>
      <c r="C136" s="2399" t="s">
        <v>1234</v>
      </c>
      <c r="D136" s="2422"/>
      <c r="E136" s="1665"/>
      <c r="F136" s="1661"/>
      <c r="G136" s="1662"/>
      <c r="H136" s="2484"/>
      <c r="I136" s="1661"/>
      <c r="J136" s="1664"/>
      <c r="K136" s="1665"/>
      <c r="L136" s="1661"/>
      <c r="M136" s="1662"/>
    </row>
    <row r="137" spans="2:13" ht="11.25" customHeight="1" x14ac:dyDescent="0.25">
      <c r="B137" s="2389"/>
      <c r="C137" s="2399" t="s">
        <v>506</v>
      </c>
      <c r="D137" s="2422"/>
      <c r="E137" s="1665"/>
      <c r="F137" s="1661"/>
      <c r="G137" s="1662"/>
      <c r="H137" s="2484"/>
      <c r="I137" s="1661"/>
      <c r="J137" s="1664"/>
      <c r="K137" s="1665"/>
      <c r="L137" s="1661"/>
      <c r="M137" s="1662"/>
    </row>
    <row r="138" spans="2:13" ht="11.25" customHeight="1" x14ac:dyDescent="0.25">
      <c r="B138" s="2389"/>
      <c r="C138" s="2401" t="s">
        <v>375</v>
      </c>
      <c r="D138" s="2422"/>
      <c r="E138" s="2489">
        <f>SUM(E136:E137)</f>
        <v>0</v>
      </c>
      <c r="F138" s="2485">
        <f t="shared" ref="F138:M138" si="21">SUM(F136:F137)</f>
        <v>0</v>
      </c>
      <c r="G138" s="2486">
        <f t="shared" si="21"/>
        <v>0</v>
      </c>
      <c r="H138" s="2487">
        <f t="shared" si="21"/>
        <v>0</v>
      </c>
      <c r="I138" s="2485">
        <f t="shared" si="21"/>
        <v>0</v>
      </c>
      <c r="J138" s="2488">
        <f t="shared" si="21"/>
        <v>0</v>
      </c>
      <c r="K138" s="2489">
        <f t="shared" si="21"/>
        <v>0</v>
      </c>
      <c r="L138" s="2485">
        <f t="shared" si="21"/>
        <v>0</v>
      </c>
      <c r="M138" s="2486">
        <f t="shared" si="21"/>
        <v>0</v>
      </c>
    </row>
    <row r="139" spans="2:13" ht="11.25" customHeight="1" x14ac:dyDescent="0.25">
      <c r="B139" s="2389"/>
      <c r="C139" s="2399" t="s">
        <v>507</v>
      </c>
      <c r="D139" s="2422"/>
      <c r="E139" s="1665"/>
      <c r="F139" s="1661"/>
      <c r="G139" s="1662"/>
      <c r="H139" s="2484"/>
      <c r="I139" s="1661"/>
      <c r="J139" s="1664"/>
      <c r="K139" s="1665"/>
      <c r="L139" s="1661"/>
      <c r="M139" s="1662"/>
    </row>
    <row r="140" spans="2:13" ht="11.25" customHeight="1" x14ac:dyDescent="0.25">
      <c r="B140" s="2389"/>
      <c r="C140" s="2399" t="s">
        <v>508</v>
      </c>
      <c r="D140" s="2422"/>
      <c r="E140" s="1665"/>
      <c r="F140" s="1661"/>
      <c r="G140" s="1662"/>
      <c r="H140" s="2484"/>
      <c r="I140" s="1661"/>
      <c r="J140" s="1664"/>
      <c r="K140" s="1665"/>
      <c r="L140" s="1661"/>
      <c r="M140" s="1662"/>
    </row>
    <row r="141" spans="2:13" ht="11.25" customHeight="1" x14ac:dyDescent="0.25">
      <c r="B141" s="2389"/>
      <c r="C141" s="2399" t="s">
        <v>688</v>
      </c>
      <c r="D141" s="2422"/>
      <c r="E141" s="1665"/>
      <c r="F141" s="1661"/>
      <c r="G141" s="1662"/>
      <c r="H141" s="2484"/>
      <c r="I141" s="1661"/>
      <c r="J141" s="1664"/>
      <c r="K141" s="1665"/>
      <c r="L141" s="1661"/>
      <c r="M141" s="1662"/>
    </row>
    <row r="142" spans="2:13" ht="11.25" customHeight="1" x14ac:dyDescent="0.25">
      <c r="B142" s="2389"/>
      <c r="C142" s="2401" t="s">
        <v>1290</v>
      </c>
      <c r="D142" s="2422"/>
      <c r="E142" s="2494">
        <f>SUM(E139:E141)</f>
        <v>0</v>
      </c>
      <c r="F142" s="2490">
        <f t="shared" ref="F142:M142" si="22">SUM(F139:F141)</f>
        <v>0</v>
      </c>
      <c r="G142" s="2491">
        <f t="shared" si="22"/>
        <v>0</v>
      </c>
      <c r="H142" s="2492">
        <f t="shared" si="22"/>
        <v>0</v>
      </c>
      <c r="I142" s="2490">
        <f t="shared" si="22"/>
        <v>0</v>
      </c>
      <c r="J142" s="2493">
        <f t="shared" si="22"/>
        <v>0</v>
      </c>
      <c r="K142" s="2494">
        <f t="shared" si="22"/>
        <v>0</v>
      </c>
      <c r="L142" s="2490">
        <f t="shared" si="22"/>
        <v>0</v>
      </c>
      <c r="M142" s="2491">
        <f t="shared" si="22"/>
        <v>0</v>
      </c>
    </row>
    <row r="143" spans="2:13" ht="11.25" customHeight="1" x14ac:dyDescent="0.25">
      <c r="B143" s="2389"/>
      <c r="C143" s="2402" t="s">
        <v>1328</v>
      </c>
      <c r="D143" s="2422"/>
      <c r="E143" s="2499">
        <f>E138+E142</f>
        <v>0</v>
      </c>
      <c r="F143" s="2495">
        <f t="shared" ref="F143:M143" si="23">F138+F142</f>
        <v>0</v>
      </c>
      <c r="G143" s="2496">
        <f t="shared" si="23"/>
        <v>0</v>
      </c>
      <c r="H143" s="2497">
        <f t="shared" si="23"/>
        <v>0</v>
      </c>
      <c r="I143" s="2495">
        <f t="shared" si="23"/>
        <v>0</v>
      </c>
      <c r="J143" s="2498">
        <f t="shared" si="23"/>
        <v>0</v>
      </c>
      <c r="K143" s="2499">
        <f t="shared" si="23"/>
        <v>0</v>
      </c>
      <c r="L143" s="2495">
        <f t="shared" si="23"/>
        <v>0</v>
      </c>
      <c r="M143" s="2496">
        <f t="shared" si="23"/>
        <v>0</v>
      </c>
    </row>
    <row r="144" spans="2:13" ht="11.25" customHeight="1" x14ac:dyDescent="0.25">
      <c r="B144" s="2389"/>
      <c r="C144" s="2398" t="s">
        <v>691</v>
      </c>
      <c r="D144" s="2422"/>
      <c r="E144" s="2504"/>
      <c r="F144" s="2500"/>
      <c r="G144" s="2503"/>
      <c r="H144" s="2502"/>
      <c r="I144" s="2500"/>
      <c r="J144" s="2503"/>
      <c r="K144" s="2504"/>
      <c r="L144" s="2500"/>
      <c r="M144" s="2501"/>
    </row>
    <row r="145" spans="1:13" ht="11.25" customHeight="1" x14ac:dyDescent="0.25">
      <c r="B145" s="2389"/>
      <c r="C145" s="2399" t="s">
        <v>743</v>
      </c>
      <c r="D145" s="2422"/>
      <c r="E145" s="1671"/>
      <c r="F145" s="1669"/>
      <c r="G145" s="1670"/>
      <c r="H145" s="2505"/>
      <c r="I145" s="1669"/>
      <c r="J145" s="2506"/>
      <c r="K145" s="1671"/>
      <c r="L145" s="1669"/>
      <c r="M145" s="1670"/>
    </row>
    <row r="146" spans="1:13" ht="11.25" customHeight="1" x14ac:dyDescent="0.25">
      <c r="B146" s="2389"/>
      <c r="C146" s="2401" t="s">
        <v>375</v>
      </c>
      <c r="D146" s="2422"/>
      <c r="E146" s="2504">
        <f>SUM(E145)</f>
        <v>0</v>
      </c>
      <c r="F146" s="2500">
        <f t="shared" ref="F146:M146" si="24">SUM(F145)</f>
        <v>0</v>
      </c>
      <c r="G146" s="2501">
        <f t="shared" si="24"/>
        <v>0</v>
      </c>
      <c r="H146" s="2502">
        <f t="shared" si="24"/>
        <v>0</v>
      </c>
      <c r="I146" s="2500">
        <f t="shared" si="24"/>
        <v>0</v>
      </c>
      <c r="J146" s="2503">
        <f t="shared" si="24"/>
        <v>0</v>
      </c>
      <c r="K146" s="2504">
        <f t="shared" si="24"/>
        <v>0</v>
      </c>
      <c r="L146" s="2500">
        <f t="shared" si="24"/>
        <v>0</v>
      </c>
      <c r="M146" s="2501">
        <f t="shared" si="24"/>
        <v>0</v>
      </c>
    </row>
    <row r="147" spans="1:13" ht="11.25" customHeight="1" x14ac:dyDescent="0.25">
      <c r="B147" s="2389"/>
      <c r="C147" s="2399" t="s">
        <v>692</v>
      </c>
      <c r="D147" s="2422"/>
      <c r="E147" s="1665"/>
      <c r="F147" s="1661"/>
      <c r="G147" s="1662"/>
      <c r="H147" s="2484"/>
      <c r="I147" s="1661"/>
      <c r="J147" s="1664"/>
      <c r="K147" s="1665"/>
      <c r="L147" s="1661"/>
      <c r="M147" s="1662"/>
    </row>
    <row r="148" spans="1:13" ht="11.25" customHeight="1" x14ac:dyDescent="0.25">
      <c r="B148" s="2389"/>
      <c r="C148" s="2399" t="s">
        <v>693</v>
      </c>
      <c r="D148" s="2422"/>
      <c r="E148" s="1665"/>
      <c r="F148" s="1661"/>
      <c r="G148" s="1662"/>
      <c r="H148" s="2484"/>
      <c r="I148" s="1661"/>
      <c r="J148" s="1664"/>
      <c r="K148" s="1665"/>
      <c r="L148" s="1661"/>
      <c r="M148" s="1662"/>
    </row>
    <row r="149" spans="1:13" ht="11.25" customHeight="1" x14ac:dyDescent="0.25">
      <c r="B149" s="2389"/>
      <c r="C149" s="2399" t="s">
        <v>883</v>
      </c>
      <c r="D149" s="2422"/>
      <c r="E149" s="1665"/>
      <c r="F149" s="1661"/>
      <c r="G149" s="1662"/>
      <c r="H149" s="2484"/>
      <c r="I149" s="1661"/>
      <c r="J149" s="1664"/>
      <c r="K149" s="1665"/>
      <c r="L149" s="1661"/>
      <c r="M149" s="1662"/>
    </row>
    <row r="150" spans="1:13" ht="11.25" customHeight="1" x14ac:dyDescent="0.25">
      <c r="B150" s="2389"/>
      <c r="C150" s="2399" t="s">
        <v>884</v>
      </c>
      <c r="D150" s="2422"/>
      <c r="E150" s="1665"/>
      <c r="F150" s="1661"/>
      <c r="G150" s="1662"/>
      <c r="H150" s="2484"/>
      <c r="I150" s="1661"/>
      <c r="J150" s="1664"/>
      <c r="K150" s="1665"/>
      <c r="L150" s="1661"/>
      <c r="M150" s="1662"/>
    </row>
    <row r="151" spans="1:13" ht="11.25" customHeight="1" x14ac:dyDescent="0.25">
      <c r="B151" s="2389"/>
      <c r="C151" s="2399" t="s">
        <v>198</v>
      </c>
      <c r="D151" s="2422"/>
      <c r="E151" s="1665"/>
      <c r="F151" s="1661"/>
      <c r="G151" s="1662"/>
      <c r="H151" s="2484"/>
      <c r="I151" s="1661"/>
      <c r="J151" s="1664"/>
      <c r="K151" s="1665"/>
      <c r="L151" s="1661"/>
      <c r="M151" s="1662"/>
    </row>
    <row r="152" spans="1:13" ht="11.25" customHeight="1" x14ac:dyDescent="0.25">
      <c r="B152" s="2389"/>
      <c r="C152" s="2401" t="s">
        <v>1290</v>
      </c>
      <c r="D152" s="2422"/>
      <c r="E152" s="2494">
        <f t="shared" ref="E152:M152" si="25">SUM(E147:E151)</f>
        <v>0</v>
      </c>
      <c r="F152" s="2490">
        <f t="shared" si="25"/>
        <v>0</v>
      </c>
      <c r="G152" s="2491">
        <f t="shared" si="25"/>
        <v>0</v>
      </c>
      <c r="H152" s="2492">
        <f t="shared" si="25"/>
        <v>0</v>
      </c>
      <c r="I152" s="2490">
        <f t="shared" si="25"/>
        <v>0</v>
      </c>
      <c r="J152" s="2493">
        <f t="shared" si="25"/>
        <v>0</v>
      </c>
      <c r="K152" s="2494">
        <f t="shared" si="25"/>
        <v>0</v>
      </c>
      <c r="L152" s="2490">
        <f t="shared" si="25"/>
        <v>0</v>
      </c>
      <c r="M152" s="2491">
        <f t="shared" si="25"/>
        <v>0</v>
      </c>
    </row>
    <row r="153" spans="1:13" ht="11.25" customHeight="1" x14ac:dyDescent="0.25">
      <c r="B153" s="2389"/>
      <c r="C153" s="2402" t="s">
        <v>1328</v>
      </c>
      <c r="D153" s="2422"/>
      <c r="E153" s="2499">
        <f>E146+E152</f>
        <v>0</v>
      </c>
      <c r="F153" s="2495">
        <f t="shared" ref="F153:M153" si="26">F146+F152</f>
        <v>0</v>
      </c>
      <c r="G153" s="2496">
        <f t="shared" si="26"/>
        <v>0</v>
      </c>
      <c r="H153" s="2497">
        <f t="shared" si="26"/>
        <v>0</v>
      </c>
      <c r="I153" s="2495">
        <f t="shared" si="26"/>
        <v>0</v>
      </c>
      <c r="J153" s="2498">
        <f t="shared" si="26"/>
        <v>0</v>
      </c>
      <c r="K153" s="2499">
        <f t="shared" si="26"/>
        <v>0</v>
      </c>
      <c r="L153" s="2495">
        <f t="shared" si="26"/>
        <v>0</v>
      </c>
      <c r="M153" s="2496">
        <f t="shared" si="26"/>
        <v>0</v>
      </c>
    </row>
    <row r="154" spans="1:13" ht="5.15" customHeight="1" x14ac:dyDescent="0.25">
      <c r="B154" s="2389"/>
      <c r="C154" s="2403"/>
      <c r="D154" s="2423"/>
      <c r="E154" s="1146"/>
      <c r="F154" s="1142"/>
      <c r="G154" s="1143"/>
      <c r="H154" s="1144"/>
      <c r="I154" s="1142"/>
      <c r="J154" s="1145"/>
      <c r="K154" s="1146"/>
      <c r="L154" s="1142"/>
      <c r="M154" s="1143"/>
    </row>
    <row r="155" spans="1:13" ht="25" customHeight="1" x14ac:dyDescent="0.3">
      <c r="A155" s="2722" t="s">
        <v>2088</v>
      </c>
      <c r="B155" s="2380"/>
      <c r="C155" s="2381"/>
      <c r="D155" s="2382"/>
      <c r="E155" s="2383" t="str">
        <f>head1b</f>
        <v>2009/10</v>
      </c>
      <c r="F155" s="1123" t="str">
        <f>head1A</f>
        <v>2010/11</v>
      </c>
      <c r="G155" s="1124" t="str">
        <f>Head1</f>
        <v>2011/12</v>
      </c>
      <c r="H155" s="2685" t="str">
        <f>Head2</f>
        <v>Current Year 2012/13</v>
      </c>
      <c r="I155" s="2686"/>
      <c r="J155" s="2687"/>
      <c r="K155" s="2685" t="str">
        <f>Head3</f>
        <v>2013/14 Medium Term Revenue &amp; Expenditure Framework</v>
      </c>
      <c r="L155" s="2686"/>
      <c r="M155" s="2687"/>
    </row>
    <row r="156" spans="1:13" ht="25" customHeight="1" x14ac:dyDescent="0.25">
      <c r="A156" s="2722"/>
      <c r="B156" s="2384" t="s">
        <v>1988</v>
      </c>
      <c r="C156" s="1585"/>
      <c r="D156" s="1586"/>
      <c r="E156" s="2385" t="str">
        <f>Head5A</f>
        <v>Outcome</v>
      </c>
      <c r="F156" s="2386" t="str">
        <f>Head5A</f>
        <v>Outcome</v>
      </c>
      <c r="G156" s="2387" t="str">
        <f>Head5A</f>
        <v>Outcome</v>
      </c>
      <c r="H156" s="2388" t="str">
        <f>Head6</f>
        <v>Original Budget</v>
      </c>
      <c r="I156" s="2386" t="str">
        <f>Head7</f>
        <v>Adjusted Budget</v>
      </c>
      <c r="J156" s="2387" t="str">
        <f>Head8</f>
        <v>Full Year Forecast</v>
      </c>
      <c r="K156" s="2388" t="str">
        <f>Head9</f>
        <v>Budget Year 2013/14</v>
      </c>
      <c r="L156" s="2386" t="str">
        <f>Head10</f>
        <v>Budget Year +1 2014/15</v>
      </c>
      <c r="M156" s="2387" t="str">
        <f>Head11</f>
        <v>Budget Year +2 2015/16</v>
      </c>
    </row>
    <row r="157" spans="1:13" ht="11.25" customHeight="1" x14ac:dyDescent="0.3">
      <c r="B157" s="2389"/>
      <c r="C157" s="2390" t="s">
        <v>200</v>
      </c>
      <c r="D157" s="2422"/>
      <c r="E157" s="556"/>
      <c r="F157" s="2391"/>
      <c r="G157" s="2392"/>
      <c r="H157" s="2393"/>
      <c r="I157" s="2394"/>
      <c r="J157" s="2395"/>
      <c r="K157" s="2396"/>
      <c r="L157" s="2394"/>
      <c r="M157" s="2397"/>
    </row>
    <row r="158" spans="1:13" ht="11.25" customHeight="1" x14ac:dyDescent="0.25">
      <c r="A158" s="2425" t="s">
        <v>2089</v>
      </c>
      <c r="B158" s="2389"/>
      <c r="C158" s="2398" t="s">
        <v>1853</v>
      </c>
      <c r="D158" s="2422"/>
      <c r="E158" s="1134"/>
      <c r="F158" s="1130"/>
      <c r="G158" s="1133"/>
      <c r="H158" s="1065"/>
      <c r="I158" s="1063"/>
      <c r="J158" s="1066"/>
      <c r="K158" s="1067"/>
      <c r="L158" s="1063"/>
      <c r="M158" s="1064"/>
    </row>
    <row r="159" spans="1:13" ht="11.25" customHeight="1" x14ac:dyDescent="0.25">
      <c r="B159" s="2389"/>
      <c r="C159" s="2399" t="s">
        <v>1641</v>
      </c>
      <c r="D159" s="2422"/>
      <c r="E159" s="1665"/>
      <c r="F159" s="1661"/>
      <c r="G159" s="1662"/>
      <c r="H159" s="2484"/>
      <c r="I159" s="1661"/>
      <c r="J159" s="1664"/>
      <c r="K159" s="1665"/>
      <c r="L159" s="1661"/>
      <c r="M159" s="1662"/>
    </row>
    <row r="160" spans="1:13" ht="11.25" customHeight="1" x14ac:dyDescent="0.25">
      <c r="B160" s="2389"/>
      <c r="C160" s="2399" t="s">
        <v>1852</v>
      </c>
      <c r="D160" s="2422"/>
      <c r="E160" s="1665"/>
      <c r="F160" s="1661"/>
      <c r="G160" s="1662"/>
      <c r="H160" s="2484"/>
      <c r="I160" s="1661"/>
      <c r="J160" s="1664"/>
      <c r="K160" s="1665"/>
      <c r="L160" s="1661"/>
      <c r="M160" s="1662"/>
    </row>
    <row r="161" spans="1:13" ht="11.25" customHeight="1" x14ac:dyDescent="0.25">
      <c r="B161" s="2400">
        <v>8</v>
      </c>
      <c r="C161" s="2399" t="s">
        <v>131</v>
      </c>
      <c r="D161" s="2422"/>
      <c r="E161" s="1665"/>
      <c r="F161" s="1661"/>
      <c r="G161" s="1662"/>
      <c r="H161" s="2484"/>
      <c r="I161" s="1661"/>
      <c r="J161" s="1664"/>
      <c r="K161" s="1665"/>
      <c r="L161" s="1661"/>
      <c r="M161" s="1662"/>
    </row>
    <row r="162" spans="1:13" ht="11.25" customHeight="1" x14ac:dyDescent="0.25">
      <c r="B162" s="2400">
        <v>10</v>
      </c>
      <c r="C162" s="2399" t="s">
        <v>132</v>
      </c>
      <c r="D162" s="2422"/>
      <c r="E162" s="1665"/>
      <c r="F162" s="1661"/>
      <c r="G162" s="1662"/>
      <c r="H162" s="2484"/>
      <c r="I162" s="1661"/>
      <c r="J162" s="1664"/>
      <c r="K162" s="1665"/>
      <c r="L162" s="1661"/>
      <c r="M162" s="1662"/>
    </row>
    <row r="163" spans="1:13" ht="11.25" customHeight="1" x14ac:dyDescent="0.25">
      <c r="B163" s="2400"/>
      <c r="C163" s="2401" t="s">
        <v>375</v>
      </c>
      <c r="D163" s="2422"/>
      <c r="E163" s="2489">
        <f>SUM(E159:E162)</f>
        <v>0</v>
      </c>
      <c r="F163" s="2485">
        <f t="shared" ref="F163:M163" si="27">SUM(F159:F162)</f>
        <v>0</v>
      </c>
      <c r="G163" s="2486">
        <f t="shared" si="27"/>
        <v>0</v>
      </c>
      <c r="H163" s="2487">
        <f t="shared" si="27"/>
        <v>0</v>
      </c>
      <c r="I163" s="2485">
        <f t="shared" si="27"/>
        <v>0</v>
      </c>
      <c r="J163" s="2488">
        <f t="shared" si="27"/>
        <v>0</v>
      </c>
      <c r="K163" s="2489">
        <f t="shared" si="27"/>
        <v>0</v>
      </c>
      <c r="L163" s="2485">
        <f t="shared" si="27"/>
        <v>0</v>
      </c>
      <c r="M163" s="2486">
        <f t="shared" si="27"/>
        <v>0</v>
      </c>
    </row>
    <row r="164" spans="1:13" ht="11.25" customHeight="1" x14ac:dyDescent="0.25">
      <c r="B164" s="2400">
        <v>9</v>
      </c>
      <c r="C164" s="2399" t="s">
        <v>504</v>
      </c>
      <c r="D164" s="2422"/>
      <c r="E164" s="1665"/>
      <c r="F164" s="1661"/>
      <c r="G164" s="1662"/>
      <c r="H164" s="2484"/>
      <c r="I164" s="1661"/>
      <c r="J164" s="1664"/>
      <c r="K164" s="1665"/>
      <c r="L164" s="1661"/>
      <c r="M164" s="1662"/>
    </row>
    <row r="165" spans="1:13" ht="11.25" customHeight="1" x14ac:dyDescent="0.25">
      <c r="B165" s="2400">
        <v>10</v>
      </c>
      <c r="C165" s="2399" t="s">
        <v>505</v>
      </c>
      <c r="D165" s="2422"/>
      <c r="E165" s="1665"/>
      <c r="F165" s="1661"/>
      <c r="G165" s="1662"/>
      <c r="H165" s="2484"/>
      <c r="I165" s="1661"/>
      <c r="J165" s="1664"/>
      <c r="K165" s="1665"/>
      <c r="L165" s="1661"/>
      <c r="M165" s="1662"/>
    </row>
    <row r="166" spans="1:13" ht="11.25" customHeight="1" x14ac:dyDescent="0.25">
      <c r="B166" s="2389"/>
      <c r="C166" s="2399" t="s">
        <v>971</v>
      </c>
      <c r="D166" s="2422"/>
      <c r="E166" s="1665"/>
      <c r="F166" s="1661"/>
      <c r="G166" s="1662"/>
      <c r="H166" s="2484"/>
      <c r="I166" s="1661"/>
      <c r="J166" s="1664"/>
      <c r="K166" s="1665"/>
      <c r="L166" s="1661"/>
      <c r="M166" s="1662"/>
    </row>
    <row r="167" spans="1:13" ht="11.25" customHeight="1" x14ac:dyDescent="0.25">
      <c r="B167" s="2389"/>
      <c r="C167" s="2401" t="s">
        <v>1290</v>
      </c>
      <c r="D167" s="2422"/>
      <c r="E167" s="2494">
        <f>SUM(E164:E166)</f>
        <v>0</v>
      </c>
      <c r="F167" s="2490">
        <f t="shared" ref="F167:M167" si="28">SUM(F164:F166)</f>
        <v>0</v>
      </c>
      <c r="G167" s="2491">
        <f t="shared" si="28"/>
        <v>0</v>
      </c>
      <c r="H167" s="2492">
        <f t="shared" si="28"/>
        <v>0</v>
      </c>
      <c r="I167" s="2490">
        <f t="shared" si="28"/>
        <v>0</v>
      </c>
      <c r="J167" s="2493">
        <f t="shared" si="28"/>
        <v>0</v>
      </c>
      <c r="K167" s="2494">
        <f t="shared" si="28"/>
        <v>0</v>
      </c>
      <c r="L167" s="2490">
        <f t="shared" si="28"/>
        <v>0</v>
      </c>
      <c r="M167" s="2491">
        <f t="shared" si="28"/>
        <v>0</v>
      </c>
    </row>
    <row r="168" spans="1:13" ht="11.25" customHeight="1" x14ac:dyDescent="0.25">
      <c r="B168" s="2389"/>
      <c r="C168" s="2402" t="s">
        <v>1328</v>
      </c>
      <c r="D168" s="2422"/>
      <c r="E168" s="2499">
        <f>E163+E167</f>
        <v>0</v>
      </c>
      <c r="F168" s="2495">
        <f t="shared" ref="F168:M168" si="29">F163+F167</f>
        <v>0</v>
      </c>
      <c r="G168" s="2496">
        <f t="shared" si="29"/>
        <v>0</v>
      </c>
      <c r="H168" s="2497">
        <f t="shared" si="29"/>
        <v>0</v>
      </c>
      <c r="I168" s="2495">
        <f t="shared" si="29"/>
        <v>0</v>
      </c>
      <c r="J168" s="2498">
        <f t="shared" si="29"/>
        <v>0</v>
      </c>
      <c r="K168" s="2499">
        <f t="shared" si="29"/>
        <v>0</v>
      </c>
      <c r="L168" s="2495">
        <f t="shared" si="29"/>
        <v>0</v>
      </c>
      <c r="M168" s="2496">
        <f t="shared" si="29"/>
        <v>0</v>
      </c>
    </row>
    <row r="169" spans="1:13" ht="11.25" customHeight="1" x14ac:dyDescent="0.25">
      <c r="A169" s="2425" t="s">
        <v>2089</v>
      </c>
      <c r="B169" s="2389"/>
      <c r="C169" s="2398" t="s">
        <v>1329</v>
      </c>
      <c r="D169" s="2422"/>
      <c r="E169" s="2504"/>
      <c r="F169" s="2500"/>
      <c r="G169" s="2503"/>
      <c r="H169" s="2502"/>
      <c r="I169" s="2500"/>
      <c r="J169" s="2503"/>
      <c r="K169" s="2504"/>
      <c r="L169" s="2500"/>
      <c r="M169" s="2501"/>
    </row>
    <row r="170" spans="1:13" ht="11.25" customHeight="1" x14ac:dyDescent="0.25">
      <c r="B170" s="2389"/>
      <c r="C170" s="2399" t="s">
        <v>1330</v>
      </c>
      <c r="D170" s="2422"/>
      <c r="E170" s="1665"/>
      <c r="F170" s="1661"/>
      <c r="G170" s="1662"/>
      <c r="H170" s="2484"/>
      <c r="I170" s="1661"/>
      <c r="J170" s="1664"/>
      <c r="K170" s="1665"/>
      <c r="L170" s="1661"/>
      <c r="M170" s="1662"/>
    </row>
    <row r="171" spans="1:13" ht="11.25" customHeight="1" x14ac:dyDescent="0.25">
      <c r="B171" s="2389"/>
      <c r="C171" s="2399" t="s">
        <v>1331</v>
      </c>
      <c r="D171" s="2422"/>
      <c r="E171" s="1665"/>
      <c r="F171" s="1661"/>
      <c r="G171" s="1662"/>
      <c r="H171" s="2484"/>
      <c r="I171" s="1661"/>
      <c r="J171" s="1664"/>
      <c r="K171" s="1665"/>
      <c r="L171" s="1661"/>
      <c r="M171" s="1662"/>
    </row>
    <row r="172" spans="1:13" ht="11.25" customHeight="1" x14ac:dyDescent="0.25">
      <c r="B172" s="2389"/>
      <c r="C172" s="2399" t="s">
        <v>1395</v>
      </c>
      <c r="D172" s="2422"/>
      <c r="E172" s="1665"/>
      <c r="F172" s="1661"/>
      <c r="G172" s="1662"/>
      <c r="H172" s="2484"/>
      <c r="I172" s="1661"/>
      <c r="J172" s="1664"/>
      <c r="K172" s="1665"/>
      <c r="L172" s="1661"/>
      <c r="M172" s="1662"/>
    </row>
    <row r="173" spans="1:13" ht="11.25" customHeight="1" x14ac:dyDescent="0.25">
      <c r="B173" s="2389"/>
      <c r="C173" s="2399" t="s">
        <v>241</v>
      </c>
      <c r="D173" s="2422"/>
      <c r="E173" s="1665"/>
      <c r="F173" s="1661"/>
      <c r="G173" s="1662"/>
      <c r="H173" s="2484"/>
      <c r="I173" s="1661"/>
      <c r="J173" s="1664"/>
      <c r="K173" s="1665"/>
      <c r="L173" s="1661"/>
      <c r="M173" s="1662"/>
    </row>
    <row r="174" spans="1:13" ht="11.25" customHeight="1" x14ac:dyDescent="0.25">
      <c r="B174" s="2389"/>
      <c r="C174" s="2399" t="s">
        <v>243</v>
      </c>
      <c r="D174" s="2422"/>
      <c r="E174" s="1665"/>
      <c r="F174" s="1661"/>
      <c r="G174" s="1662"/>
      <c r="H174" s="2484"/>
      <c r="I174" s="1661"/>
      <c r="J174" s="1664"/>
      <c r="K174" s="1665"/>
      <c r="L174" s="1661"/>
      <c r="M174" s="1662"/>
    </row>
    <row r="175" spans="1:13" ht="11.25" customHeight="1" x14ac:dyDescent="0.25">
      <c r="B175" s="2389"/>
      <c r="C175" s="2401" t="s">
        <v>375</v>
      </c>
      <c r="D175" s="2422"/>
      <c r="E175" s="2489">
        <f>SUM(E170:E174)</f>
        <v>0</v>
      </c>
      <c r="F175" s="2485">
        <f t="shared" ref="F175:M175" si="30">SUM(F170:F174)</f>
        <v>0</v>
      </c>
      <c r="G175" s="2486">
        <f t="shared" si="30"/>
        <v>0</v>
      </c>
      <c r="H175" s="2487">
        <f t="shared" si="30"/>
        <v>0</v>
      </c>
      <c r="I175" s="2485">
        <f t="shared" si="30"/>
        <v>0</v>
      </c>
      <c r="J175" s="2488">
        <f t="shared" si="30"/>
        <v>0</v>
      </c>
      <c r="K175" s="2489">
        <f t="shared" si="30"/>
        <v>0</v>
      </c>
      <c r="L175" s="2485">
        <f t="shared" si="30"/>
        <v>0</v>
      </c>
      <c r="M175" s="2486">
        <f t="shared" si="30"/>
        <v>0</v>
      </c>
    </row>
    <row r="176" spans="1:13" ht="11.25" customHeight="1" x14ac:dyDescent="0.25">
      <c r="B176" s="2389"/>
      <c r="C176" s="2399" t="s">
        <v>242</v>
      </c>
      <c r="D176" s="2422"/>
      <c r="E176" s="1665"/>
      <c r="F176" s="1661"/>
      <c r="G176" s="1662"/>
      <c r="H176" s="2484"/>
      <c r="I176" s="1661"/>
      <c r="J176" s="1664"/>
      <c r="K176" s="1665"/>
      <c r="L176" s="1661"/>
      <c r="M176" s="1662"/>
    </row>
    <row r="177" spans="1:13" ht="11.25" customHeight="1" x14ac:dyDescent="0.25">
      <c r="B177" s="2389"/>
      <c r="C177" s="2399" t="s">
        <v>1233</v>
      </c>
      <c r="D177" s="2422"/>
      <c r="E177" s="1665"/>
      <c r="F177" s="1661"/>
      <c r="G177" s="1662"/>
      <c r="H177" s="2484"/>
      <c r="I177" s="1661"/>
      <c r="J177" s="1664"/>
      <c r="K177" s="1665"/>
      <c r="L177" s="1661"/>
      <c r="M177" s="1662"/>
    </row>
    <row r="178" spans="1:13" ht="11.25" customHeight="1" x14ac:dyDescent="0.25">
      <c r="B178" s="2389"/>
      <c r="C178" s="2399" t="s">
        <v>1397</v>
      </c>
      <c r="D178" s="2422"/>
      <c r="E178" s="1665"/>
      <c r="F178" s="1661"/>
      <c r="G178" s="1662"/>
      <c r="H178" s="2484"/>
      <c r="I178" s="1661"/>
      <c r="J178" s="1664"/>
      <c r="K178" s="1665"/>
      <c r="L178" s="1661"/>
      <c r="M178" s="1662"/>
    </row>
    <row r="179" spans="1:13" ht="11.25" customHeight="1" x14ac:dyDescent="0.25">
      <c r="B179" s="2389"/>
      <c r="C179" s="2401" t="s">
        <v>1290</v>
      </c>
      <c r="D179" s="2422"/>
      <c r="E179" s="2494">
        <f>SUM(E176:E178)</f>
        <v>0</v>
      </c>
      <c r="F179" s="2490">
        <f t="shared" ref="F179:M179" si="31">SUM(F176:F178)</f>
        <v>0</v>
      </c>
      <c r="G179" s="2491">
        <f t="shared" si="31"/>
        <v>0</v>
      </c>
      <c r="H179" s="2492">
        <f t="shared" si="31"/>
        <v>0</v>
      </c>
      <c r="I179" s="2490">
        <f t="shared" si="31"/>
        <v>0</v>
      </c>
      <c r="J179" s="2493">
        <f t="shared" si="31"/>
        <v>0</v>
      </c>
      <c r="K179" s="2494">
        <f t="shared" si="31"/>
        <v>0</v>
      </c>
      <c r="L179" s="2490">
        <f t="shared" si="31"/>
        <v>0</v>
      </c>
      <c r="M179" s="2491">
        <f t="shared" si="31"/>
        <v>0</v>
      </c>
    </row>
    <row r="180" spans="1:13" ht="11.25" customHeight="1" x14ac:dyDescent="0.25">
      <c r="B180" s="2389"/>
      <c r="C180" s="2402" t="s">
        <v>1328</v>
      </c>
      <c r="D180" s="2422"/>
      <c r="E180" s="2499">
        <f>E175+E179</f>
        <v>0</v>
      </c>
      <c r="F180" s="2495">
        <f t="shared" ref="F180:M180" si="32">F175+F179</f>
        <v>0</v>
      </c>
      <c r="G180" s="2496">
        <f t="shared" si="32"/>
        <v>0</v>
      </c>
      <c r="H180" s="2497">
        <f t="shared" si="32"/>
        <v>0</v>
      </c>
      <c r="I180" s="2495">
        <f t="shared" si="32"/>
        <v>0</v>
      </c>
      <c r="J180" s="2498">
        <f t="shared" si="32"/>
        <v>0</v>
      </c>
      <c r="K180" s="2499">
        <f t="shared" si="32"/>
        <v>0</v>
      </c>
      <c r="L180" s="2495">
        <f t="shared" si="32"/>
        <v>0</v>
      </c>
      <c r="M180" s="2496">
        <f t="shared" si="32"/>
        <v>0</v>
      </c>
    </row>
    <row r="181" spans="1:13" ht="11.25" customHeight="1" x14ac:dyDescent="0.25">
      <c r="A181" s="2425" t="s">
        <v>2089</v>
      </c>
      <c r="B181" s="2389"/>
      <c r="C181" s="2398" t="s">
        <v>687</v>
      </c>
      <c r="D181" s="2422"/>
      <c r="E181" s="2504"/>
      <c r="F181" s="2500"/>
      <c r="G181" s="2503"/>
      <c r="H181" s="2502"/>
      <c r="I181" s="2500"/>
      <c r="J181" s="2503"/>
      <c r="K181" s="2504"/>
      <c r="L181" s="2500"/>
      <c r="M181" s="2501"/>
    </row>
    <row r="182" spans="1:13" ht="11.25" customHeight="1" x14ac:dyDescent="0.25">
      <c r="B182" s="2389"/>
      <c r="C182" s="2399" t="s">
        <v>1234</v>
      </c>
      <c r="D182" s="2422"/>
      <c r="E182" s="1665"/>
      <c r="F182" s="1661"/>
      <c r="G182" s="1662"/>
      <c r="H182" s="2484"/>
      <c r="I182" s="1661"/>
      <c r="J182" s="1664"/>
      <c r="K182" s="1665"/>
      <c r="L182" s="1661"/>
      <c r="M182" s="1662"/>
    </row>
    <row r="183" spans="1:13" ht="11.25" customHeight="1" x14ac:dyDescent="0.25">
      <c r="B183" s="2389"/>
      <c r="C183" s="2399" t="s">
        <v>506</v>
      </c>
      <c r="D183" s="2422"/>
      <c r="E183" s="1665"/>
      <c r="F183" s="1661"/>
      <c r="G183" s="1662"/>
      <c r="H183" s="2484"/>
      <c r="I183" s="1661"/>
      <c r="J183" s="1664"/>
      <c r="K183" s="1665"/>
      <c r="L183" s="1661"/>
      <c r="M183" s="1662"/>
    </row>
    <row r="184" spans="1:13" ht="11.25" customHeight="1" x14ac:dyDescent="0.25">
      <c r="B184" s="2389"/>
      <c r="C184" s="2401" t="s">
        <v>375</v>
      </c>
      <c r="D184" s="2422"/>
      <c r="E184" s="2489">
        <f>SUM(E182:E183)</f>
        <v>0</v>
      </c>
      <c r="F184" s="2485">
        <f t="shared" ref="F184:M184" si="33">SUM(F182:F183)</f>
        <v>0</v>
      </c>
      <c r="G184" s="2486">
        <f t="shared" si="33"/>
        <v>0</v>
      </c>
      <c r="H184" s="2487">
        <f t="shared" si="33"/>
        <v>0</v>
      </c>
      <c r="I184" s="2485">
        <f t="shared" si="33"/>
        <v>0</v>
      </c>
      <c r="J184" s="2488">
        <f t="shared" si="33"/>
        <v>0</v>
      </c>
      <c r="K184" s="2489">
        <f t="shared" si="33"/>
        <v>0</v>
      </c>
      <c r="L184" s="2485">
        <f t="shared" si="33"/>
        <v>0</v>
      </c>
      <c r="M184" s="2486">
        <f t="shared" si="33"/>
        <v>0</v>
      </c>
    </row>
    <row r="185" spans="1:13" ht="11.25" customHeight="1" x14ac:dyDescent="0.25">
      <c r="B185" s="2389"/>
      <c r="C185" s="2399" t="s">
        <v>507</v>
      </c>
      <c r="D185" s="2422"/>
      <c r="E185" s="1665"/>
      <c r="F185" s="1661"/>
      <c r="G185" s="1662"/>
      <c r="H185" s="2484"/>
      <c r="I185" s="1661"/>
      <c r="J185" s="1664"/>
      <c r="K185" s="1665"/>
      <c r="L185" s="1661"/>
      <c r="M185" s="1662"/>
    </row>
    <row r="186" spans="1:13" ht="11.25" customHeight="1" x14ac:dyDescent="0.25">
      <c r="B186" s="2389"/>
      <c r="C186" s="2399" t="s">
        <v>508</v>
      </c>
      <c r="D186" s="2422"/>
      <c r="E186" s="1665"/>
      <c r="F186" s="1661"/>
      <c r="G186" s="1662"/>
      <c r="H186" s="2484"/>
      <c r="I186" s="1661"/>
      <c r="J186" s="1664"/>
      <c r="K186" s="1665"/>
      <c r="L186" s="1661"/>
      <c r="M186" s="1662"/>
    </row>
    <row r="187" spans="1:13" ht="11.25" customHeight="1" x14ac:dyDescent="0.25">
      <c r="B187" s="2389"/>
      <c r="C187" s="2399" t="s">
        <v>688</v>
      </c>
      <c r="D187" s="2422"/>
      <c r="E187" s="1665"/>
      <c r="F187" s="1661"/>
      <c r="G187" s="1662"/>
      <c r="H187" s="2484"/>
      <c r="I187" s="1661"/>
      <c r="J187" s="1664"/>
      <c r="K187" s="1665"/>
      <c r="L187" s="1661"/>
      <c r="M187" s="1662"/>
    </row>
    <row r="188" spans="1:13" ht="11.25" customHeight="1" x14ac:dyDescent="0.25">
      <c r="B188" s="2389"/>
      <c r="C188" s="2401" t="s">
        <v>1290</v>
      </c>
      <c r="D188" s="2422"/>
      <c r="E188" s="2494">
        <f>SUM(E185:E187)</f>
        <v>0</v>
      </c>
      <c r="F188" s="2490">
        <f t="shared" ref="F188:M188" si="34">SUM(F185:F187)</f>
        <v>0</v>
      </c>
      <c r="G188" s="2491">
        <f t="shared" si="34"/>
        <v>0</v>
      </c>
      <c r="H188" s="2492">
        <f t="shared" si="34"/>
        <v>0</v>
      </c>
      <c r="I188" s="2490">
        <f t="shared" si="34"/>
        <v>0</v>
      </c>
      <c r="J188" s="2493">
        <f t="shared" si="34"/>
        <v>0</v>
      </c>
      <c r="K188" s="2494">
        <f t="shared" si="34"/>
        <v>0</v>
      </c>
      <c r="L188" s="2490">
        <f t="shared" si="34"/>
        <v>0</v>
      </c>
      <c r="M188" s="2491">
        <f t="shared" si="34"/>
        <v>0</v>
      </c>
    </row>
    <row r="189" spans="1:13" ht="11.25" customHeight="1" x14ac:dyDescent="0.25">
      <c r="B189" s="2389"/>
      <c r="C189" s="2402" t="s">
        <v>1328</v>
      </c>
      <c r="D189" s="2422"/>
      <c r="E189" s="2499">
        <f>E184+E188</f>
        <v>0</v>
      </c>
      <c r="F189" s="2495">
        <f t="shared" ref="F189:M189" si="35">F184+F188</f>
        <v>0</v>
      </c>
      <c r="G189" s="2496">
        <f t="shared" si="35"/>
        <v>0</v>
      </c>
      <c r="H189" s="2497">
        <f t="shared" si="35"/>
        <v>0</v>
      </c>
      <c r="I189" s="2495">
        <f t="shared" si="35"/>
        <v>0</v>
      </c>
      <c r="J189" s="2498">
        <f t="shared" si="35"/>
        <v>0</v>
      </c>
      <c r="K189" s="2499">
        <f t="shared" si="35"/>
        <v>0</v>
      </c>
      <c r="L189" s="2495">
        <f t="shared" si="35"/>
        <v>0</v>
      </c>
      <c r="M189" s="2496">
        <f t="shared" si="35"/>
        <v>0</v>
      </c>
    </row>
    <row r="190" spans="1:13" ht="11.25" customHeight="1" x14ac:dyDescent="0.25">
      <c r="A190" s="2425" t="s">
        <v>2089</v>
      </c>
      <c r="B190" s="2389"/>
      <c r="C190" s="2398" t="s">
        <v>691</v>
      </c>
      <c r="D190" s="2422"/>
      <c r="E190" s="2504"/>
      <c r="F190" s="2500"/>
      <c r="G190" s="2503"/>
      <c r="H190" s="2502"/>
      <c r="I190" s="2500"/>
      <c r="J190" s="2503"/>
      <c r="K190" s="2504"/>
      <c r="L190" s="2500"/>
      <c r="M190" s="2501"/>
    </row>
    <row r="191" spans="1:13" ht="11.25" customHeight="1" x14ac:dyDescent="0.25">
      <c r="B191" s="2389"/>
      <c r="C191" s="2399" t="s">
        <v>743</v>
      </c>
      <c r="D191" s="2422"/>
      <c r="E191" s="1671"/>
      <c r="F191" s="1669"/>
      <c r="G191" s="1670"/>
      <c r="H191" s="2505"/>
      <c r="I191" s="1669"/>
      <c r="J191" s="2506"/>
      <c r="K191" s="1671"/>
      <c r="L191" s="1669"/>
      <c r="M191" s="1670"/>
    </row>
    <row r="192" spans="1:13" ht="11.25" customHeight="1" x14ac:dyDescent="0.25">
      <c r="B192" s="2389"/>
      <c r="C192" s="2401" t="s">
        <v>375</v>
      </c>
      <c r="D192" s="2422"/>
      <c r="E192" s="2504">
        <f>SUM(E191)</f>
        <v>0</v>
      </c>
      <c r="F192" s="2500">
        <f t="shared" ref="F192:M192" si="36">SUM(F191)</f>
        <v>0</v>
      </c>
      <c r="G192" s="2501">
        <f t="shared" si="36"/>
        <v>0</v>
      </c>
      <c r="H192" s="2502">
        <f t="shared" si="36"/>
        <v>0</v>
      </c>
      <c r="I192" s="2500">
        <f t="shared" si="36"/>
        <v>0</v>
      </c>
      <c r="J192" s="2503">
        <f t="shared" si="36"/>
        <v>0</v>
      </c>
      <c r="K192" s="2504">
        <f t="shared" si="36"/>
        <v>0</v>
      </c>
      <c r="L192" s="2500">
        <f t="shared" si="36"/>
        <v>0</v>
      </c>
      <c r="M192" s="2501">
        <f t="shared" si="36"/>
        <v>0</v>
      </c>
    </row>
    <row r="193" spans="1:13" ht="11.25" customHeight="1" x14ac:dyDescent="0.25">
      <c r="B193" s="2389"/>
      <c r="C193" s="2399" t="s">
        <v>692</v>
      </c>
      <c r="D193" s="2422"/>
      <c r="E193" s="1665"/>
      <c r="F193" s="1661"/>
      <c r="G193" s="1662"/>
      <c r="H193" s="2484"/>
      <c r="I193" s="1661"/>
      <c r="J193" s="1664"/>
      <c r="K193" s="1665"/>
      <c r="L193" s="1661"/>
      <c r="M193" s="1662"/>
    </row>
    <row r="194" spans="1:13" ht="11.25" customHeight="1" x14ac:dyDescent="0.25">
      <c r="B194" s="2389"/>
      <c r="C194" s="2399" t="s">
        <v>693</v>
      </c>
      <c r="D194" s="2422"/>
      <c r="E194" s="1665"/>
      <c r="F194" s="1661"/>
      <c r="G194" s="1662"/>
      <c r="H194" s="2484"/>
      <c r="I194" s="1661"/>
      <c r="J194" s="1664"/>
      <c r="K194" s="1665"/>
      <c r="L194" s="1661"/>
      <c r="M194" s="1662"/>
    </row>
    <row r="195" spans="1:13" ht="11.25" customHeight="1" x14ac:dyDescent="0.25">
      <c r="B195" s="2389"/>
      <c r="C195" s="2399" t="s">
        <v>883</v>
      </c>
      <c r="D195" s="2422"/>
      <c r="E195" s="1665"/>
      <c r="F195" s="1661"/>
      <c r="G195" s="1662"/>
      <c r="H195" s="2484"/>
      <c r="I195" s="1661"/>
      <c r="J195" s="1664"/>
      <c r="K195" s="1665"/>
      <c r="L195" s="1661"/>
      <c r="M195" s="1662"/>
    </row>
    <row r="196" spans="1:13" ht="11.25" customHeight="1" x14ac:dyDescent="0.25">
      <c r="B196" s="2389"/>
      <c r="C196" s="2399" t="s">
        <v>884</v>
      </c>
      <c r="D196" s="2422"/>
      <c r="E196" s="1665"/>
      <c r="F196" s="1661"/>
      <c r="G196" s="1662"/>
      <c r="H196" s="2484"/>
      <c r="I196" s="1661"/>
      <c r="J196" s="1664"/>
      <c r="K196" s="1665"/>
      <c r="L196" s="1661"/>
      <c r="M196" s="1662"/>
    </row>
    <row r="197" spans="1:13" ht="11.25" customHeight="1" x14ac:dyDescent="0.25">
      <c r="B197" s="2389"/>
      <c r="C197" s="2399" t="s">
        <v>198</v>
      </c>
      <c r="D197" s="2422"/>
      <c r="E197" s="1665"/>
      <c r="F197" s="1661"/>
      <c r="G197" s="1662"/>
      <c r="H197" s="2484"/>
      <c r="I197" s="1661"/>
      <c r="J197" s="1664"/>
      <c r="K197" s="1665"/>
      <c r="L197" s="1661"/>
      <c r="M197" s="1662"/>
    </row>
    <row r="198" spans="1:13" ht="11.25" customHeight="1" x14ac:dyDescent="0.25">
      <c r="B198" s="2389"/>
      <c r="C198" s="2401" t="s">
        <v>1290</v>
      </c>
      <c r="D198" s="2422"/>
      <c r="E198" s="2494">
        <f t="shared" ref="E198:M198" si="37">SUM(E193:E197)</f>
        <v>0</v>
      </c>
      <c r="F198" s="2490">
        <f t="shared" si="37"/>
        <v>0</v>
      </c>
      <c r="G198" s="2491">
        <f t="shared" si="37"/>
        <v>0</v>
      </c>
      <c r="H198" s="2492">
        <f t="shared" si="37"/>
        <v>0</v>
      </c>
      <c r="I198" s="2490">
        <f t="shared" si="37"/>
        <v>0</v>
      </c>
      <c r="J198" s="2493">
        <f t="shared" si="37"/>
        <v>0</v>
      </c>
      <c r="K198" s="2494">
        <f t="shared" si="37"/>
        <v>0</v>
      </c>
      <c r="L198" s="2490">
        <f t="shared" si="37"/>
        <v>0</v>
      </c>
      <c r="M198" s="2491">
        <f t="shared" si="37"/>
        <v>0</v>
      </c>
    </row>
    <row r="199" spans="1:13" ht="11.25" customHeight="1" x14ac:dyDescent="0.25">
      <c r="B199" s="2389"/>
      <c r="C199" s="2402" t="s">
        <v>1328</v>
      </c>
      <c r="D199" s="2422"/>
      <c r="E199" s="2499">
        <f>E192+E198</f>
        <v>0</v>
      </c>
      <c r="F199" s="2495">
        <f t="shared" ref="F199:M199" si="38">F192+F198</f>
        <v>0</v>
      </c>
      <c r="G199" s="2496">
        <f t="shared" si="38"/>
        <v>0</v>
      </c>
      <c r="H199" s="2497">
        <f t="shared" si="38"/>
        <v>0</v>
      </c>
      <c r="I199" s="2495">
        <f t="shared" si="38"/>
        <v>0</v>
      </c>
      <c r="J199" s="2498">
        <f t="shared" si="38"/>
        <v>0</v>
      </c>
      <c r="K199" s="2499">
        <f t="shared" si="38"/>
        <v>0</v>
      </c>
      <c r="L199" s="2495">
        <f t="shared" si="38"/>
        <v>0</v>
      </c>
      <c r="M199" s="2496">
        <f t="shared" si="38"/>
        <v>0</v>
      </c>
    </row>
    <row r="200" spans="1:13" ht="5.15" customHeight="1" x14ac:dyDescent="0.25">
      <c r="B200" s="2389"/>
      <c r="C200" s="2403"/>
      <c r="D200" s="2423"/>
      <c r="E200" s="1146"/>
      <c r="F200" s="1142"/>
      <c r="G200" s="1143"/>
      <c r="H200" s="1144"/>
      <c r="I200" s="1142"/>
      <c r="J200" s="1145"/>
      <c r="K200" s="1146"/>
      <c r="L200" s="1142"/>
      <c r="M200" s="1143"/>
    </row>
    <row r="201" spans="1:13" ht="25" customHeight="1" x14ac:dyDescent="0.3">
      <c r="A201" s="2722" t="s">
        <v>2090</v>
      </c>
      <c r="B201" s="2380"/>
      <c r="C201" s="2381"/>
      <c r="D201" s="2382"/>
      <c r="E201" s="2383" t="str">
        <f>head1b</f>
        <v>2009/10</v>
      </c>
      <c r="F201" s="1123" t="str">
        <f>head1A</f>
        <v>2010/11</v>
      </c>
      <c r="G201" s="1124" t="str">
        <f>Head1</f>
        <v>2011/12</v>
      </c>
      <c r="H201" s="2685" t="str">
        <f>Head2</f>
        <v>Current Year 2012/13</v>
      </c>
      <c r="I201" s="2686"/>
      <c r="J201" s="2687"/>
      <c r="K201" s="2685" t="str">
        <f>Head3</f>
        <v>2013/14 Medium Term Revenue &amp; Expenditure Framework</v>
      </c>
      <c r="L201" s="2686"/>
      <c r="M201" s="2687"/>
    </row>
    <row r="202" spans="1:13" ht="25" customHeight="1" x14ac:dyDescent="0.25">
      <c r="A202" s="2722"/>
      <c r="B202" s="2384" t="s">
        <v>1988</v>
      </c>
      <c r="C202" s="1585"/>
      <c r="D202" s="1586"/>
      <c r="E202" s="2385" t="str">
        <f>Head5A</f>
        <v>Outcome</v>
      </c>
      <c r="F202" s="2386" t="str">
        <f>Head5A</f>
        <v>Outcome</v>
      </c>
      <c r="G202" s="2387" t="str">
        <f>Head5A</f>
        <v>Outcome</v>
      </c>
      <c r="H202" s="2388" t="str">
        <f>Head6</f>
        <v>Original Budget</v>
      </c>
      <c r="I202" s="2386" t="str">
        <f>Head7</f>
        <v>Adjusted Budget</v>
      </c>
      <c r="J202" s="2387" t="str">
        <f>Head8</f>
        <v>Full Year Forecast</v>
      </c>
      <c r="K202" s="2388" t="str">
        <f>Head9</f>
        <v>Budget Year 2013/14</v>
      </c>
      <c r="L202" s="2386" t="str">
        <f>Head10</f>
        <v>Budget Year +1 2014/15</v>
      </c>
      <c r="M202" s="2387" t="str">
        <f>Head11</f>
        <v>Budget Year +2 2015/16</v>
      </c>
    </row>
    <row r="203" spans="1:13" ht="11.25" customHeight="1" x14ac:dyDescent="0.3">
      <c r="A203" s="2404" t="s">
        <v>2091</v>
      </c>
      <c r="B203" s="2389"/>
      <c r="C203" s="2390" t="s">
        <v>200</v>
      </c>
      <c r="D203" s="2422"/>
      <c r="E203" s="556"/>
      <c r="F203" s="2391"/>
      <c r="G203" s="2392"/>
      <c r="H203" s="2393"/>
      <c r="I203" s="2394"/>
      <c r="J203" s="2395"/>
      <c r="K203" s="2396"/>
      <c r="L203" s="2394"/>
      <c r="M203" s="2397"/>
    </row>
    <row r="204" spans="1:13" ht="11.25" customHeight="1" x14ac:dyDescent="0.25">
      <c r="A204" s="1650"/>
      <c r="B204" s="2389"/>
      <c r="C204" s="2398" t="s">
        <v>1853</v>
      </c>
      <c r="D204" s="2422"/>
      <c r="E204" s="1134"/>
      <c r="F204" s="1130"/>
      <c r="G204" s="1133"/>
      <c r="H204" s="1065"/>
      <c r="I204" s="1063"/>
      <c r="J204" s="1066"/>
      <c r="K204" s="1067"/>
      <c r="L204" s="1063"/>
      <c r="M204" s="1064"/>
    </row>
    <row r="205" spans="1:13" ht="11.25" customHeight="1" x14ac:dyDescent="0.25">
      <c r="A205" s="1650"/>
      <c r="B205" s="2389"/>
      <c r="C205" s="2399" t="s">
        <v>1641</v>
      </c>
      <c r="D205" s="2422"/>
      <c r="E205" s="1665"/>
      <c r="F205" s="1661"/>
      <c r="G205" s="1662"/>
      <c r="H205" s="2484"/>
      <c r="I205" s="1661"/>
      <c r="J205" s="1664"/>
      <c r="K205" s="1665"/>
      <c r="L205" s="1661"/>
      <c r="M205" s="1662"/>
    </row>
    <row r="206" spans="1:13" ht="11.25" customHeight="1" x14ac:dyDescent="0.25">
      <c r="A206" s="1650"/>
      <c r="B206" s="2389"/>
      <c r="C206" s="2399" t="s">
        <v>1852</v>
      </c>
      <c r="D206" s="2422"/>
      <c r="E206" s="1665"/>
      <c r="F206" s="1661"/>
      <c r="G206" s="1662"/>
      <c r="H206" s="2484"/>
      <c r="I206" s="1661"/>
      <c r="J206" s="1664"/>
      <c r="K206" s="1665"/>
      <c r="L206" s="1661"/>
      <c r="M206" s="1662"/>
    </row>
    <row r="207" spans="1:13" ht="11.25" customHeight="1" x14ac:dyDescent="0.25">
      <c r="A207" s="1650"/>
      <c r="B207" s="2400">
        <v>8</v>
      </c>
      <c r="C207" s="2399" t="s">
        <v>131</v>
      </c>
      <c r="D207" s="2422"/>
      <c r="E207" s="1665"/>
      <c r="F207" s="1661"/>
      <c r="G207" s="1662"/>
      <c r="H207" s="2484"/>
      <c r="I207" s="1661"/>
      <c r="J207" s="1664"/>
      <c r="K207" s="1665"/>
      <c r="L207" s="1661"/>
      <c r="M207" s="1662"/>
    </row>
    <row r="208" spans="1:13" ht="11.25" customHeight="1" x14ac:dyDescent="0.25">
      <c r="A208" s="1650"/>
      <c r="B208" s="2400">
        <v>10</v>
      </c>
      <c r="C208" s="2399" t="s">
        <v>132</v>
      </c>
      <c r="D208" s="2422"/>
      <c r="E208" s="1665"/>
      <c r="F208" s="1661"/>
      <c r="G208" s="1662"/>
      <c r="H208" s="2484"/>
      <c r="I208" s="1661"/>
      <c r="J208" s="1664"/>
      <c r="K208" s="1665"/>
      <c r="L208" s="1661"/>
      <c r="M208" s="1662"/>
    </row>
    <row r="209" spans="1:13" ht="11.25" customHeight="1" x14ac:dyDescent="0.25">
      <c r="A209" s="1650"/>
      <c r="B209" s="2400"/>
      <c r="C209" s="2401" t="s">
        <v>375</v>
      </c>
      <c r="D209" s="2422"/>
      <c r="E209" s="2489">
        <f>SUM(E205:E208)</f>
        <v>0</v>
      </c>
      <c r="F209" s="2485">
        <f t="shared" ref="F209:M209" si="39">SUM(F205:F208)</f>
        <v>0</v>
      </c>
      <c r="G209" s="2486">
        <f t="shared" si="39"/>
        <v>0</v>
      </c>
      <c r="H209" s="2487">
        <f t="shared" si="39"/>
        <v>0</v>
      </c>
      <c r="I209" s="2485">
        <f t="shared" si="39"/>
        <v>0</v>
      </c>
      <c r="J209" s="2488">
        <f t="shared" si="39"/>
        <v>0</v>
      </c>
      <c r="K209" s="2489">
        <f t="shared" si="39"/>
        <v>0</v>
      </c>
      <c r="L209" s="2485">
        <f t="shared" si="39"/>
        <v>0</v>
      </c>
      <c r="M209" s="2486">
        <f t="shared" si="39"/>
        <v>0</v>
      </c>
    </row>
    <row r="210" spans="1:13" ht="11.25" customHeight="1" x14ac:dyDescent="0.25">
      <c r="A210" s="1650"/>
      <c r="B210" s="2400">
        <v>9</v>
      </c>
      <c r="C210" s="2399" t="s">
        <v>504</v>
      </c>
      <c r="D210" s="2422"/>
      <c r="E210" s="1665"/>
      <c r="F210" s="1661"/>
      <c r="G210" s="1662"/>
      <c r="H210" s="2484"/>
      <c r="I210" s="1661"/>
      <c r="J210" s="1664"/>
      <c r="K210" s="1665"/>
      <c r="L210" s="1661"/>
      <c r="M210" s="1662"/>
    </row>
    <row r="211" spans="1:13" ht="11.25" customHeight="1" x14ac:dyDescent="0.25">
      <c r="A211" s="1650"/>
      <c r="B211" s="2400">
        <v>10</v>
      </c>
      <c r="C211" s="2399" t="s">
        <v>505</v>
      </c>
      <c r="D211" s="2422"/>
      <c r="E211" s="1665"/>
      <c r="F211" s="1661"/>
      <c r="G211" s="1662"/>
      <c r="H211" s="2484"/>
      <c r="I211" s="1661"/>
      <c r="J211" s="1664"/>
      <c r="K211" s="1665"/>
      <c r="L211" s="1661"/>
      <c r="M211" s="1662"/>
    </row>
    <row r="212" spans="1:13" ht="11.25" customHeight="1" x14ac:dyDescent="0.25">
      <c r="A212" s="1650"/>
      <c r="B212" s="2389"/>
      <c r="C212" s="2399" t="s">
        <v>971</v>
      </c>
      <c r="D212" s="2422"/>
      <c r="E212" s="1665"/>
      <c r="F212" s="1661"/>
      <c r="G212" s="1662"/>
      <c r="H212" s="2484"/>
      <c r="I212" s="1661"/>
      <c r="J212" s="1664"/>
      <c r="K212" s="1665"/>
      <c r="L212" s="1661"/>
      <c r="M212" s="1662"/>
    </row>
    <row r="213" spans="1:13" ht="11.25" customHeight="1" x14ac:dyDescent="0.25">
      <c r="A213" s="1650"/>
      <c r="B213" s="2389"/>
      <c r="C213" s="2401" t="s">
        <v>1290</v>
      </c>
      <c r="D213" s="2422"/>
      <c r="E213" s="2494">
        <f>SUM(E210:E212)</f>
        <v>0</v>
      </c>
      <c r="F213" s="2490">
        <f t="shared" ref="F213:M213" si="40">SUM(F210:F212)</f>
        <v>0</v>
      </c>
      <c r="G213" s="2491">
        <f t="shared" si="40"/>
        <v>0</v>
      </c>
      <c r="H213" s="2492">
        <f t="shared" si="40"/>
        <v>0</v>
      </c>
      <c r="I213" s="2490">
        <f t="shared" si="40"/>
        <v>0</v>
      </c>
      <c r="J213" s="2493">
        <f t="shared" si="40"/>
        <v>0</v>
      </c>
      <c r="K213" s="2494">
        <f t="shared" si="40"/>
        <v>0</v>
      </c>
      <c r="L213" s="2490">
        <f t="shared" si="40"/>
        <v>0</v>
      </c>
      <c r="M213" s="2491">
        <f t="shared" si="40"/>
        <v>0</v>
      </c>
    </row>
    <row r="214" spans="1:13" ht="11.25" customHeight="1" x14ac:dyDescent="0.25">
      <c r="B214" s="2389"/>
      <c r="C214" s="2402" t="s">
        <v>1328</v>
      </c>
      <c r="D214" s="2422"/>
      <c r="E214" s="2499">
        <f>E209+E213</f>
        <v>0</v>
      </c>
      <c r="F214" s="2495">
        <f t="shared" ref="F214:M214" si="41">F209+F213</f>
        <v>0</v>
      </c>
      <c r="G214" s="2496">
        <f t="shared" si="41"/>
        <v>0</v>
      </c>
      <c r="H214" s="2497">
        <f t="shared" si="41"/>
        <v>0</v>
      </c>
      <c r="I214" s="2495">
        <f t="shared" si="41"/>
        <v>0</v>
      </c>
      <c r="J214" s="2498">
        <f t="shared" si="41"/>
        <v>0</v>
      </c>
      <c r="K214" s="2499">
        <f t="shared" si="41"/>
        <v>0</v>
      </c>
      <c r="L214" s="2495">
        <f t="shared" si="41"/>
        <v>0</v>
      </c>
      <c r="M214" s="2496">
        <f t="shared" si="41"/>
        <v>0</v>
      </c>
    </row>
    <row r="215" spans="1:13" ht="11.25" customHeight="1" x14ac:dyDescent="0.25">
      <c r="A215" s="2404" t="s">
        <v>2091</v>
      </c>
      <c r="B215" s="2389"/>
      <c r="C215" s="2398" t="s">
        <v>1329</v>
      </c>
      <c r="D215" s="2422"/>
      <c r="E215" s="2504"/>
      <c r="F215" s="2500"/>
      <c r="G215" s="2503"/>
      <c r="H215" s="2502"/>
      <c r="I215" s="2500"/>
      <c r="J215" s="2503"/>
      <c r="K215" s="2504"/>
      <c r="L215" s="2500"/>
      <c r="M215" s="2501"/>
    </row>
    <row r="216" spans="1:13" ht="11.25" customHeight="1" x14ac:dyDescent="0.25">
      <c r="A216" s="1650"/>
      <c r="B216" s="2389"/>
      <c r="C216" s="2399" t="s">
        <v>1330</v>
      </c>
      <c r="D216" s="2422"/>
      <c r="E216" s="1665"/>
      <c r="F216" s="1661"/>
      <c r="G216" s="1662"/>
      <c r="H216" s="2484"/>
      <c r="I216" s="1661"/>
      <c r="J216" s="1664"/>
      <c r="K216" s="1665"/>
      <c r="L216" s="1661"/>
      <c r="M216" s="1662"/>
    </row>
    <row r="217" spans="1:13" ht="11.25" customHeight="1" x14ac:dyDescent="0.25">
      <c r="A217" s="1650"/>
      <c r="B217" s="2389"/>
      <c r="C217" s="2399" t="s">
        <v>1331</v>
      </c>
      <c r="D217" s="2422"/>
      <c r="E217" s="1665"/>
      <c r="F217" s="1661"/>
      <c r="G217" s="1662"/>
      <c r="H217" s="2484"/>
      <c r="I217" s="1661"/>
      <c r="J217" s="1664"/>
      <c r="K217" s="1665"/>
      <c r="L217" s="1661"/>
      <c r="M217" s="1662"/>
    </row>
    <row r="218" spans="1:13" ht="11.25" customHeight="1" x14ac:dyDescent="0.25">
      <c r="A218" s="1650"/>
      <c r="B218" s="2389"/>
      <c r="C218" s="2399" t="s">
        <v>1395</v>
      </c>
      <c r="D218" s="2422"/>
      <c r="E218" s="1665"/>
      <c r="F218" s="1661"/>
      <c r="G218" s="1662"/>
      <c r="H218" s="2484"/>
      <c r="I218" s="1661"/>
      <c r="J218" s="1664"/>
      <c r="K218" s="1665"/>
      <c r="L218" s="1661"/>
      <c r="M218" s="1662"/>
    </row>
    <row r="219" spans="1:13" ht="11.25" customHeight="1" x14ac:dyDescent="0.25">
      <c r="A219" s="1650"/>
      <c r="B219" s="2389"/>
      <c r="C219" s="2399" t="s">
        <v>241</v>
      </c>
      <c r="D219" s="2422"/>
      <c r="E219" s="1665"/>
      <c r="F219" s="1661"/>
      <c r="G219" s="1662"/>
      <c r="H219" s="2484"/>
      <c r="I219" s="1661"/>
      <c r="J219" s="1664"/>
      <c r="K219" s="1665"/>
      <c r="L219" s="1661"/>
      <c r="M219" s="1662"/>
    </row>
    <row r="220" spans="1:13" ht="11.25" customHeight="1" x14ac:dyDescent="0.25">
      <c r="A220" s="1650"/>
      <c r="B220" s="2389"/>
      <c r="C220" s="2399" t="s">
        <v>243</v>
      </c>
      <c r="D220" s="2422"/>
      <c r="E220" s="1665"/>
      <c r="F220" s="1661"/>
      <c r="G220" s="1662"/>
      <c r="H220" s="2484"/>
      <c r="I220" s="1661"/>
      <c r="J220" s="1664"/>
      <c r="K220" s="1665"/>
      <c r="L220" s="1661"/>
      <c r="M220" s="1662"/>
    </row>
    <row r="221" spans="1:13" ht="11.25" customHeight="1" x14ac:dyDescent="0.25">
      <c r="A221" s="1650"/>
      <c r="B221" s="2389"/>
      <c r="C221" s="2401" t="s">
        <v>375</v>
      </c>
      <c r="D221" s="2422"/>
      <c r="E221" s="2489">
        <f>SUM(E216:E220)</f>
        <v>0</v>
      </c>
      <c r="F221" s="2485">
        <f t="shared" ref="F221:M221" si="42">SUM(F216:F220)</f>
        <v>0</v>
      </c>
      <c r="G221" s="2486">
        <f t="shared" si="42"/>
        <v>0</v>
      </c>
      <c r="H221" s="2487">
        <f t="shared" si="42"/>
        <v>0</v>
      </c>
      <c r="I221" s="2485">
        <f t="shared" si="42"/>
        <v>0</v>
      </c>
      <c r="J221" s="2488">
        <f t="shared" si="42"/>
        <v>0</v>
      </c>
      <c r="K221" s="2489">
        <f t="shared" si="42"/>
        <v>0</v>
      </c>
      <c r="L221" s="2485">
        <f t="shared" si="42"/>
        <v>0</v>
      </c>
      <c r="M221" s="2486">
        <f t="shared" si="42"/>
        <v>0</v>
      </c>
    </row>
    <row r="222" spans="1:13" ht="11.25" customHeight="1" x14ac:dyDescent="0.25">
      <c r="A222" s="1650"/>
      <c r="B222" s="2389"/>
      <c r="C222" s="2399" t="s">
        <v>242</v>
      </c>
      <c r="D222" s="2422"/>
      <c r="E222" s="1665"/>
      <c r="F222" s="1661"/>
      <c r="G222" s="1662"/>
      <c r="H222" s="2484"/>
      <c r="I222" s="1661"/>
      <c r="J222" s="1664"/>
      <c r="K222" s="1665"/>
      <c r="L222" s="1661"/>
      <c r="M222" s="1662"/>
    </row>
    <row r="223" spans="1:13" ht="11.25" customHeight="1" x14ac:dyDescent="0.25">
      <c r="A223" s="1650"/>
      <c r="B223" s="2389"/>
      <c r="C223" s="2399" t="s">
        <v>1233</v>
      </c>
      <c r="D223" s="2422"/>
      <c r="E223" s="1665"/>
      <c r="F223" s="1661"/>
      <c r="G223" s="1662"/>
      <c r="H223" s="2484"/>
      <c r="I223" s="1661"/>
      <c r="J223" s="1664"/>
      <c r="K223" s="1665"/>
      <c r="L223" s="1661"/>
      <c r="M223" s="1662"/>
    </row>
    <row r="224" spans="1:13" ht="11.25" customHeight="1" x14ac:dyDescent="0.25">
      <c r="A224" s="1650"/>
      <c r="B224" s="2389"/>
      <c r="C224" s="2399" t="s">
        <v>1397</v>
      </c>
      <c r="D224" s="2422"/>
      <c r="E224" s="1665"/>
      <c r="F224" s="1661"/>
      <c r="G224" s="1662"/>
      <c r="H224" s="2484"/>
      <c r="I224" s="1661"/>
      <c r="J224" s="1664"/>
      <c r="K224" s="1665"/>
      <c r="L224" s="1661"/>
      <c r="M224" s="1662"/>
    </row>
    <row r="225" spans="1:13" ht="11.25" customHeight="1" x14ac:dyDescent="0.25">
      <c r="A225" s="1650"/>
      <c r="B225" s="2389"/>
      <c r="C225" s="2401" t="s">
        <v>1290</v>
      </c>
      <c r="D225" s="2422"/>
      <c r="E225" s="2494">
        <f>SUM(E222:E224)</f>
        <v>0</v>
      </c>
      <c r="F225" s="2490">
        <f t="shared" ref="F225:M225" si="43">SUM(F222:F224)</f>
        <v>0</v>
      </c>
      <c r="G225" s="2491">
        <f t="shared" si="43"/>
        <v>0</v>
      </c>
      <c r="H225" s="2492">
        <f t="shared" si="43"/>
        <v>0</v>
      </c>
      <c r="I225" s="2490">
        <f t="shared" si="43"/>
        <v>0</v>
      </c>
      <c r="J225" s="2493">
        <f t="shared" si="43"/>
        <v>0</v>
      </c>
      <c r="K225" s="2494">
        <f t="shared" si="43"/>
        <v>0</v>
      </c>
      <c r="L225" s="2490">
        <f t="shared" si="43"/>
        <v>0</v>
      </c>
      <c r="M225" s="2491">
        <f t="shared" si="43"/>
        <v>0</v>
      </c>
    </row>
    <row r="226" spans="1:13" ht="11.25" customHeight="1" x14ac:dyDescent="0.25">
      <c r="B226" s="2389"/>
      <c r="C226" s="2402" t="s">
        <v>1328</v>
      </c>
      <c r="D226" s="2422"/>
      <c r="E226" s="2499">
        <f>E221+E225</f>
        <v>0</v>
      </c>
      <c r="F226" s="2495">
        <f t="shared" ref="F226:M226" si="44">F221+F225</f>
        <v>0</v>
      </c>
      <c r="G226" s="2496">
        <f t="shared" si="44"/>
        <v>0</v>
      </c>
      <c r="H226" s="2497">
        <f t="shared" si="44"/>
        <v>0</v>
      </c>
      <c r="I226" s="2495">
        <f t="shared" si="44"/>
        <v>0</v>
      </c>
      <c r="J226" s="2498">
        <f t="shared" si="44"/>
        <v>0</v>
      </c>
      <c r="K226" s="2499">
        <f t="shared" si="44"/>
        <v>0</v>
      </c>
      <c r="L226" s="2495">
        <f t="shared" si="44"/>
        <v>0</v>
      </c>
      <c r="M226" s="2496">
        <f t="shared" si="44"/>
        <v>0</v>
      </c>
    </row>
    <row r="227" spans="1:13" ht="11.25" customHeight="1" x14ac:dyDescent="0.25">
      <c r="A227" s="2404" t="s">
        <v>2091</v>
      </c>
      <c r="B227" s="2389"/>
      <c r="C227" s="2398" t="s">
        <v>687</v>
      </c>
      <c r="D227" s="2422"/>
      <c r="E227" s="2504"/>
      <c r="F227" s="2500"/>
      <c r="G227" s="2503"/>
      <c r="H227" s="2502"/>
      <c r="I227" s="2500"/>
      <c r="J227" s="2503"/>
      <c r="K227" s="2504"/>
      <c r="L227" s="2500"/>
      <c r="M227" s="2501"/>
    </row>
    <row r="228" spans="1:13" ht="11.25" customHeight="1" x14ac:dyDescent="0.25">
      <c r="A228" s="1650"/>
      <c r="B228" s="2389"/>
      <c r="C228" s="2399" t="s">
        <v>1234</v>
      </c>
      <c r="D228" s="2422"/>
      <c r="E228" s="1665"/>
      <c r="F228" s="1661"/>
      <c r="G228" s="1662"/>
      <c r="H228" s="2484"/>
      <c r="I228" s="1661"/>
      <c r="J228" s="1664"/>
      <c r="K228" s="1665"/>
      <c r="L228" s="1661"/>
      <c r="M228" s="1662"/>
    </row>
    <row r="229" spans="1:13" ht="11.25" customHeight="1" x14ac:dyDescent="0.25">
      <c r="A229" s="1650"/>
      <c r="B229" s="2389"/>
      <c r="C229" s="2399" t="s">
        <v>506</v>
      </c>
      <c r="D229" s="2422"/>
      <c r="E229" s="1665"/>
      <c r="F229" s="1661"/>
      <c r="G229" s="1662"/>
      <c r="H229" s="2484"/>
      <c r="I229" s="1661"/>
      <c r="J229" s="1664"/>
      <c r="K229" s="1665"/>
      <c r="L229" s="1661"/>
      <c r="M229" s="1662"/>
    </row>
    <row r="230" spans="1:13" ht="11.25" customHeight="1" x14ac:dyDescent="0.25">
      <c r="A230" s="1650"/>
      <c r="B230" s="2389"/>
      <c r="C230" s="2401" t="s">
        <v>375</v>
      </c>
      <c r="D230" s="2422"/>
      <c r="E230" s="2489">
        <f>SUM(E228:E229)</f>
        <v>0</v>
      </c>
      <c r="F230" s="2485">
        <f t="shared" ref="F230:M230" si="45">SUM(F228:F229)</f>
        <v>0</v>
      </c>
      <c r="G230" s="2486">
        <f t="shared" si="45"/>
        <v>0</v>
      </c>
      <c r="H230" s="2487">
        <f t="shared" si="45"/>
        <v>0</v>
      </c>
      <c r="I230" s="2485">
        <f t="shared" si="45"/>
        <v>0</v>
      </c>
      <c r="J230" s="2488">
        <f t="shared" si="45"/>
        <v>0</v>
      </c>
      <c r="K230" s="2489">
        <f t="shared" si="45"/>
        <v>0</v>
      </c>
      <c r="L230" s="2485">
        <f t="shared" si="45"/>
        <v>0</v>
      </c>
      <c r="M230" s="2486">
        <f t="shared" si="45"/>
        <v>0</v>
      </c>
    </row>
    <row r="231" spans="1:13" ht="11.25" customHeight="1" x14ac:dyDescent="0.25">
      <c r="A231" s="1650"/>
      <c r="B231" s="2389"/>
      <c r="C231" s="2399" t="s">
        <v>507</v>
      </c>
      <c r="D231" s="2422"/>
      <c r="E231" s="1665"/>
      <c r="F231" s="1661"/>
      <c r="G231" s="1662"/>
      <c r="H231" s="2484"/>
      <c r="I231" s="1661"/>
      <c r="J231" s="1664"/>
      <c r="K231" s="1665"/>
      <c r="L231" s="1661"/>
      <c r="M231" s="1662"/>
    </row>
    <row r="232" spans="1:13" ht="11.25" customHeight="1" x14ac:dyDescent="0.25">
      <c r="A232" s="1650"/>
      <c r="B232" s="2389"/>
      <c r="C232" s="2399" t="s">
        <v>508</v>
      </c>
      <c r="D232" s="2422"/>
      <c r="E232" s="1665"/>
      <c r="F232" s="1661"/>
      <c r="G232" s="1662"/>
      <c r="H232" s="2484"/>
      <c r="I232" s="1661"/>
      <c r="J232" s="1664"/>
      <c r="K232" s="1665"/>
      <c r="L232" s="1661"/>
      <c r="M232" s="1662"/>
    </row>
    <row r="233" spans="1:13" ht="11.25" customHeight="1" x14ac:dyDescent="0.25">
      <c r="A233" s="1650"/>
      <c r="B233" s="2389"/>
      <c r="C233" s="2399" t="s">
        <v>688</v>
      </c>
      <c r="D233" s="2422"/>
      <c r="E233" s="1665"/>
      <c r="F233" s="1661"/>
      <c r="G233" s="1662"/>
      <c r="H233" s="2484"/>
      <c r="I233" s="1661"/>
      <c r="J233" s="1664"/>
      <c r="K233" s="1665"/>
      <c r="L233" s="1661"/>
      <c r="M233" s="1662"/>
    </row>
    <row r="234" spans="1:13" ht="11.25" customHeight="1" x14ac:dyDescent="0.25">
      <c r="A234" s="1650"/>
      <c r="B234" s="2389"/>
      <c r="C234" s="2401" t="s">
        <v>1290</v>
      </c>
      <c r="D234" s="2422"/>
      <c r="E234" s="2494">
        <f>SUM(E231:E233)</f>
        <v>0</v>
      </c>
      <c r="F234" s="2490">
        <f t="shared" ref="F234:M234" si="46">SUM(F231:F233)</f>
        <v>0</v>
      </c>
      <c r="G234" s="2491">
        <f t="shared" si="46"/>
        <v>0</v>
      </c>
      <c r="H234" s="2492">
        <f t="shared" si="46"/>
        <v>0</v>
      </c>
      <c r="I234" s="2490">
        <f t="shared" si="46"/>
        <v>0</v>
      </c>
      <c r="J234" s="2493">
        <f t="shared" si="46"/>
        <v>0</v>
      </c>
      <c r="K234" s="2494">
        <f t="shared" si="46"/>
        <v>0</v>
      </c>
      <c r="L234" s="2490">
        <f t="shared" si="46"/>
        <v>0</v>
      </c>
      <c r="M234" s="2491">
        <f t="shared" si="46"/>
        <v>0</v>
      </c>
    </row>
    <row r="235" spans="1:13" ht="11.25" customHeight="1" x14ac:dyDescent="0.25">
      <c r="A235" s="2405"/>
      <c r="B235" s="2389"/>
      <c r="C235" s="2402" t="s">
        <v>1328</v>
      </c>
      <c r="D235" s="2422"/>
      <c r="E235" s="2499">
        <f>E230+E234</f>
        <v>0</v>
      </c>
      <c r="F235" s="2495">
        <f t="shared" ref="F235:M235" si="47">F230+F234</f>
        <v>0</v>
      </c>
      <c r="G235" s="2496">
        <f t="shared" si="47"/>
        <v>0</v>
      </c>
      <c r="H235" s="2497">
        <f t="shared" si="47"/>
        <v>0</v>
      </c>
      <c r="I235" s="2495">
        <f t="shared" si="47"/>
        <v>0</v>
      </c>
      <c r="J235" s="2498">
        <f t="shared" si="47"/>
        <v>0</v>
      </c>
      <c r="K235" s="2499">
        <f t="shared" si="47"/>
        <v>0</v>
      </c>
      <c r="L235" s="2495">
        <f t="shared" si="47"/>
        <v>0</v>
      </c>
      <c r="M235" s="2496">
        <f t="shared" si="47"/>
        <v>0</v>
      </c>
    </row>
    <row r="236" spans="1:13" ht="11.25" customHeight="1" x14ac:dyDescent="0.25">
      <c r="A236" s="2404" t="s">
        <v>2091</v>
      </c>
      <c r="B236" s="2389"/>
      <c r="C236" s="2398" t="s">
        <v>691</v>
      </c>
      <c r="D236" s="2422"/>
      <c r="E236" s="2504"/>
      <c r="F236" s="2500"/>
      <c r="G236" s="2503"/>
      <c r="H236" s="2502"/>
      <c r="I236" s="2500"/>
      <c r="J236" s="2503"/>
      <c r="K236" s="2504"/>
      <c r="L236" s="2500"/>
      <c r="M236" s="2501"/>
    </row>
    <row r="237" spans="1:13" ht="11.25" customHeight="1" x14ac:dyDescent="0.25">
      <c r="A237" s="1650"/>
      <c r="B237" s="2389"/>
      <c r="C237" s="2399" t="s">
        <v>743</v>
      </c>
      <c r="D237" s="2422"/>
      <c r="E237" s="1671"/>
      <c r="F237" s="1669"/>
      <c r="G237" s="1670"/>
      <c r="H237" s="2505"/>
      <c r="I237" s="1669"/>
      <c r="J237" s="2506"/>
      <c r="K237" s="1671"/>
      <c r="L237" s="1669"/>
      <c r="M237" s="1670"/>
    </row>
    <row r="238" spans="1:13" ht="11.25" customHeight="1" x14ac:dyDescent="0.25">
      <c r="A238" s="1650"/>
      <c r="B238" s="2389"/>
      <c r="C238" s="2401" t="s">
        <v>375</v>
      </c>
      <c r="D238" s="2422"/>
      <c r="E238" s="2504">
        <f>SUM(E237)</f>
        <v>0</v>
      </c>
      <c r="F238" s="2500">
        <f t="shared" ref="F238:M238" si="48">SUM(F237)</f>
        <v>0</v>
      </c>
      <c r="G238" s="2501">
        <f t="shared" si="48"/>
        <v>0</v>
      </c>
      <c r="H238" s="2502">
        <f t="shared" si="48"/>
        <v>0</v>
      </c>
      <c r="I238" s="2500">
        <f t="shared" si="48"/>
        <v>0</v>
      </c>
      <c r="J238" s="2503">
        <f t="shared" si="48"/>
        <v>0</v>
      </c>
      <c r="K238" s="2504">
        <f t="shared" si="48"/>
        <v>0</v>
      </c>
      <c r="L238" s="2500">
        <f t="shared" si="48"/>
        <v>0</v>
      </c>
      <c r="M238" s="2501">
        <f t="shared" si="48"/>
        <v>0</v>
      </c>
    </row>
    <row r="239" spans="1:13" ht="11.25" customHeight="1" x14ac:dyDescent="0.25">
      <c r="A239" s="1650"/>
      <c r="B239" s="2389"/>
      <c r="C239" s="2399" t="s">
        <v>692</v>
      </c>
      <c r="D239" s="2422"/>
      <c r="E239" s="1665"/>
      <c r="F239" s="1661"/>
      <c r="G239" s="1662"/>
      <c r="H239" s="2484"/>
      <c r="I239" s="1661"/>
      <c r="J239" s="1664"/>
      <c r="K239" s="1665"/>
      <c r="L239" s="1661"/>
      <c r="M239" s="1662"/>
    </row>
    <row r="240" spans="1:13" ht="11.25" customHeight="1" x14ac:dyDescent="0.25">
      <c r="A240" s="1650"/>
      <c r="B240" s="2389"/>
      <c r="C240" s="2399" t="s">
        <v>693</v>
      </c>
      <c r="D240" s="2422"/>
      <c r="E240" s="1665"/>
      <c r="F240" s="1661"/>
      <c r="G240" s="1662"/>
      <c r="H240" s="2484"/>
      <c r="I240" s="1661"/>
      <c r="J240" s="1664"/>
      <c r="K240" s="1665"/>
      <c r="L240" s="1661"/>
      <c r="M240" s="1662"/>
    </row>
    <row r="241" spans="1:13" ht="11.25" customHeight="1" x14ac:dyDescent="0.25">
      <c r="A241" s="1650"/>
      <c r="B241" s="2389"/>
      <c r="C241" s="2399" t="s">
        <v>883</v>
      </c>
      <c r="D241" s="2422"/>
      <c r="E241" s="1665"/>
      <c r="F241" s="1661"/>
      <c r="G241" s="1662"/>
      <c r="H241" s="2484"/>
      <c r="I241" s="1661"/>
      <c r="J241" s="1664"/>
      <c r="K241" s="1665"/>
      <c r="L241" s="1661"/>
      <c r="M241" s="1662"/>
    </row>
    <row r="242" spans="1:13" ht="11.25" customHeight="1" x14ac:dyDescent="0.25">
      <c r="A242" s="1650"/>
      <c r="B242" s="2389"/>
      <c r="C242" s="2399" t="s">
        <v>884</v>
      </c>
      <c r="D242" s="2422"/>
      <c r="E242" s="1665"/>
      <c r="F242" s="1661"/>
      <c r="G242" s="1662"/>
      <c r="H242" s="2484"/>
      <c r="I242" s="1661"/>
      <c r="J242" s="1664"/>
      <c r="K242" s="1665"/>
      <c r="L242" s="1661"/>
      <c r="M242" s="1662"/>
    </row>
    <row r="243" spans="1:13" ht="11.25" customHeight="1" x14ac:dyDescent="0.25">
      <c r="A243" s="1650"/>
      <c r="B243" s="2389"/>
      <c r="C243" s="2399" t="s">
        <v>198</v>
      </c>
      <c r="D243" s="2422"/>
      <c r="E243" s="1665"/>
      <c r="F243" s="1661"/>
      <c r="G243" s="1662"/>
      <c r="H243" s="2484"/>
      <c r="I243" s="1661"/>
      <c r="J243" s="1664"/>
      <c r="K243" s="1665"/>
      <c r="L243" s="1661"/>
      <c r="M243" s="1662"/>
    </row>
    <row r="244" spans="1:13" ht="11.25" customHeight="1" x14ac:dyDescent="0.25">
      <c r="A244" s="1650"/>
      <c r="B244" s="2389"/>
      <c r="C244" s="2401" t="s">
        <v>1290</v>
      </c>
      <c r="D244" s="2422"/>
      <c r="E244" s="2494">
        <f t="shared" ref="E244:M244" si="49">SUM(E239:E243)</f>
        <v>0</v>
      </c>
      <c r="F244" s="2490">
        <f t="shared" si="49"/>
        <v>0</v>
      </c>
      <c r="G244" s="2491">
        <f t="shared" si="49"/>
        <v>0</v>
      </c>
      <c r="H244" s="2492">
        <f t="shared" si="49"/>
        <v>0</v>
      </c>
      <c r="I244" s="2490">
        <f t="shared" si="49"/>
        <v>0</v>
      </c>
      <c r="J244" s="2493">
        <f t="shared" si="49"/>
        <v>0</v>
      </c>
      <c r="K244" s="2494">
        <f t="shared" si="49"/>
        <v>0</v>
      </c>
      <c r="L244" s="2490">
        <f t="shared" si="49"/>
        <v>0</v>
      </c>
      <c r="M244" s="2491">
        <f t="shared" si="49"/>
        <v>0</v>
      </c>
    </row>
    <row r="245" spans="1:13" ht="11.25" customHeight="1" x14ac:dyDescent="0.25">
      <c r="B245" s="2389"/>
      <c r="C245" s="2402" t="s">
        <v>1328</v>
      </c>
      <c r="D245" s="2422"/>
      <c r="E245" s="2499">
        <f>E238+E244</f>
        <v>0</v>
      </c>
      <c r="F245" s="2495">
        <f t="shared" ref="F245:M245" si="50">F238+F244</f>
        <v>0</v>
      </c>
      <c r="G245" s="2496">
        <f t="shared" si="50"/>
        <v>0</v>
      </c>
      <c r="H245" s="2497">
        <f t="shared" si="50"/>
        <v>0</v>
      </c>
      <c r="I245" s="2495">
        <f t="shared" si="50"/>
        <v>0</v>
      </c>
      <c r="J245" s="2498">
        <f t="shared" si="50"/>
        <v>0</v>
      </c>
      <c r="K245" s="2499">
        <f t="shared" si="50"/>
        <v>0</v>
      </c>
      <c r="L245" s="2495">
        <f t="shared" si="50"/>
        <v>0</v>
      </c>
      <c r="M245" s="2496">
        <f t="shared" si="50"/>
        <v>0</v>
      </c>
    </row>
    <row r="246" spans="1:13" ht="5.15" customHeight="1" x14ac:dyDescent="0.25">
      <c r="A246" s="1585"/>
      <c r="B246" s="2384"/>
      <c r="C246" s="2406"/>
      <c r="D246" s="2424"/>
      <c r="E246" s="2407"/>
      <c r="F246" s="2408"/>
      <c r="G246" s="2409"/>
      <c r="H246" s="2410"/>
      <c r="I246" s="2408"/>
      <c r="J246" s="2411"/>
      <c r="K246" s="2407"/>
      <c r="L246" s="2408"/>
      <c r="M246" s="2409"/>
    </row>
    <row r="247" spans="1:13" ht="11.25" customHeight="1" x14ac:dyDescent="0.25">
      <c r="B247" s="247"/>
    </row>
    <row r="248" spans="1:13" ht="11.25" customHeight="1" x14ac:dyDescent="0.25">
      <c r="A248" s="1157" t="str">
        <f>head27a</f>
        <v>References</v>
      </c>
      <c r="B248" s="2412"/>
      <c r="C248" s="709"/>
      <c r="D248" s="709"/>
      <c r="E248" s="709"/>
      <c r="F248" s="709"/>
      <c r="G248" s="709"/>
      <c r="H248" s="709"/>
      <c r="I248" s="709"/>
      <c r="J248" s="709"/>
      <c r="K248" s="709"/>
      <c r="L248" s="709"/>
      <c r="M248" s="709"/>
    </row>
    <row r="249" spans="1:13" ht="11.25" customHeight="1" x14ac:dyDescent="0.25">
      <c r="A249" s="461" t="s">
        <v>2193</v>
      </c>
      <c r="B249" s="805"/>
      <c r="C249" s="709"/>
      <c r="D249" s="709"/>
      <c r="E249" s="709"/>
      <c r="F249" s="709"/>
      <c r="G249" s="709"/>
      <c r="H249" s="709"/>
      <c r="I249" s="709"/>
      <c r="J249" s="709"/>
      <c r="K249" s="709"/>
      <c r="L249" s="709"/>
      <c r="M249" s="709"/>
    </row>
    <row r="250" spans="1:13" ht="11.25" customHeight="1" x14ac:dyDescent="0.25">
      <c r="A250" s="461" t="s">
        <v>620</v>
      </c>
      <c r="B250" s="805"/>
      <c r="C250" s="709"/>
      <c r="D250" s="709"/>
      <c r="E250" s="709"/>
      <c r="F250" s="709"/>
      <c r="G250" s="709"/>
      <c r="H250" s="709"/>
      <c r="I250" s="709"/>
      <c r="J250" s="709"/>
      <c r="K250" s="709"/>
      <c r="L250" s="709"/>
      <c r="M250" s="709"/>
    </row>
    <row r="251" spans="1:13" ht="11.25" customHeight="1" x14ac:dyDescent="0.25">
      <c r="A251" s="461" t="s">
        <v>621</v>
      </c>
      <c r="B251" s="805"/>
      <c r="C251" s="709"/>
      <c r="D251" s="709"/>
      <c r="E251" s="709"/>
      <c r="F251" s="709"/>
      <c r="G251" s="709"/>
      <c r="H251" s="709"/>
      <c r="I251" s="709"/>
      <c r="J251" s="709"/>
      <c r="K251" s="709"/>
      <c r="L251" s="709"/>
      <c r="M251" s="709"/>
    </row>
    <row r="252" spans="1:13" ht="11.25" customHeight="1" x14ac:dyDescent="0.25">
      <c r="A252" s="461" t="s">
        <v>622</v>
      </c>
      <c r="B252" s="805"/>
      <c r="C252" s="709"/>
      <c r="D252" s="709"/>
      <c r="E252" s="709"/>
      <c r="F252" s="709"/>
      <c r="G252" s="709"/>
      <c r="H252" s="709"/>
      <c r="I252" s="709"/>
      <c r="J252" s="709"/>
      <c r="K252" s="709"/>
      <c r="L252" s="709"/>
      <c r="M252" s="709"/>
    </row>
    <row r="253" spans="1:13" ht="11.25" customHeight="1" x14ac:dyDescent="0.25">
      <c r="A253" s="461" t="s">
        <v>623</v>
      </c>
      <c r="B253" s="805"/>
      <c r="C253" s="709"/>
      <c r="D253" s="709"/>
      <c r="E253" s="709"/>
      <c r="F253" s="709"/>
      <c r="G253" s="709"/>
      <c r="H253" s="709"/>
      <c r="I253" s="709"/>
      <c r="J253" s="709"/>
      <c r="K253" s="709"/>
      <c r="L253" s="709"/>
      <c r="M253" s="709"/>
    </row>
    <row r="254" spans="1:13" ht="11.25" customHeight="1" x14ac:dyDescent="0.25">
      <c r="A254" s="1415" t="s">
        <v>1591</v>
      </c>
      <c r="B254" s="2412"/>
    </row>
    <row r="255" spans="1:13" ht="11.25" customHeight="1" x14ac:dyDescent="0.25">
      <c r="A255" s="1415" t="s">
        <v>1592</v>
      </c>
      <c r="B255" s="2412"/>
      <c r="G255" s="309"/>
      <c r="H255" s="309"/>
      <c r="I255" s="309"/>
      <c r="J255" s="309"/>
      <c r="K255" s="309"/>
      <c r="L255" s="309"/>
      <c r="M255" s="309"/>
    </row>
    <row r="256" spans="1:13" ht="11.25" customHeight="1" x14ac:dyDescent="0.25">
      <c r="A256" s="1158" t="s">
        <v>2092</v>
      </c>
      <c r="B256" s="247"/>
      <c r="G256" s="309"/>
      <c r="H256" s="309"/>
      <c r="I256" s="309"/>
      <c r="J256" s="309"/>
      <c r="K256" s="309"/>
      <c r="L256" s="309"/>
      <c r="M256" s="309"/>
    </row>
    <row r="257" spans="1:13" ht="11.25" customHeight="1" x14ac:dyDescent="0.25">
      <c r="A257" s="1158" t="s">
        <v>2093</v>
      </c>
      <c r="B257" s="247"/>
      <c r="G257" s="309"/>
      <c r="H257" s="309"/>
      <c r="I257" s="309"/>
      <c r="J257" s="309"/>
      <c r="K257" s="309"/>
      <c r="L257" s="309"/>
      <c r="M257" s="309"/>
    </row>
    <row r="258" spans="1:13" ht="11.25" customHeight="1" x14ac:dyDescent="0.25">
      <c r="A258" s="1158" t="s">
        <v>2094</v>
      </c>
      <c r="B258" s="247"/>
    </row>
    <row r="259" spans="1:13" ht="11.25" customHeight="1" x14ac:dyDescent="0.25">
      <c r="A259" s="1158" t="s">
        <v>2095</v>
      </c>
      <c r="B259" s="805"/>
      <c r="C259" s="461"/>
    </row>
    <row r="260" spans="1:13" ht="11.25" customHeight="1" x14ac:dyDescent="0.25">
      <c r="A260" s="461" t="s">
        <v>2192</v>
      </c>
      <c r="B260" s="805"/>
      <c r="C260" s="461"/>
    </row>
    <row r="261" spans="1:13" ht="11.25" customHeight="1" x14ac:dyDescent="0.25">
      <c r="A261" s="2455" t="s">
        <v>2207</v>
      </c>
      <c r="B261" s="805"/>
      <c r="C261" s="461"/>
    </row>
  </sheetData>
  <sheetProtection sheet="1" objects="1" scenarios="1"/>
  <mergeCells count="19">
    <mergeCell ref="A155:A156"/>
    <mergeCell ref="H155:J155"/>
    <mergeCell ref="K155:M155"/>
    <mergeCell ref="A201:A202"/>
    <mergeCell ref="H201:J201"/>
    <mergeCell ref="K201:M201"/>
    <mergeCell ref="A63:A64"/>
    <mergeCell ref="H63:J63"/>
    <mergeCell ref="K63:M63"/>
    <mergeCell ref="A109:A110"/>
    <mergeCell ref="H109:J109"/>
    <mergeCell ref="K109:M109"/>
    <mergeCell ref="K2:M2"/>
    <mergeCell ref="A2:A3"/>
    <mergeCell ref="B2:B3"/>
    <mergeCell ref="C2:C3"/>
    <mergeCell ref="D2:D3"/>
    <mergeCell ref="E2:E3"/>
    <mergeCell ref="F2:F3"/>
  </mergeCells>
  <phoneticPr fontId="2" type="noConversion"/>
  <dataValidations count="1">
    <dataValidation type="decimal" allowBlank="1" showInputMessage="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formula1>-9999999999999990000</formula1>
      <formula2>99999999999999900000</formula2>
    </dataValidation>
  </dataValidations>
  <printOptions horizontalCentered="1"/>
  <pageMargins left="0.37" right="0" top="0.6" bottom="0.4" header="0.51181102362204722" footer="0.39370078740157483"/>
  <pageSetup paperSize="9" scale="65"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enableFormatConditionsCalculation="0">
    <tabColor indexed="42"/>
    <pageSetUpPr fitToPage="1"/>
  </sheetPr>
  <dimension ref="A1:R138"/>
  <sheetViews>
    <sheetView showGridLines="0" zoomScaleNormal="100" workbookViewId="0">
      <pane xSplit="3" ySplit="3" topLeftCell="D127" activePane="bottomRight" state="frozen"/>
      <selection pane="topRight"/>
      <selection pane="bottomLeft"/>
      <selection pane="bottomRight" activeCell="E135" sqref="E135"/>
    </sheetView>
  </sheetViews>
  <sheetFormatPr defaultColWidth="9.1796875" defaultRowHeight="10.5" x14ac:dyDescent="0.25"/>
  <cols>
    <col min="1" max="1" width="38.7265625" style="149" customWidth="1"/>
    <col min="2" max="2" width="6.7265625" style="247" bestFit="1" customWidth="1"/>
    <col min="3" max="3" width="3" style="247" customWidth="1"/>
    <col min="4" max="5" width="9" style="247" customWidth="1"/>
    <col min="6" max="9" width="9" style="149" customWidth="1"/>
    <col min="10" max="10" width="8.7265625" style="149" customWidth="1"/>
    <col min="11" max="13" width="9" style="149" customWidth="1"/>
    <col min="14" max="14" width="9.54296875" style="149" customWidth="1"/>
    <col min="15" max="15" width="10.1796875" style="149" bestFit="1" customWidth="1"/>
    <col min="16" max="16" width="9.54296875" style="149" bestFit="1" customWidth="1"/>
    <col min="17" max="16384" width="9.1796875" style="149"/>
  </cols>
  <sheetData>
    <row r="1" spans="1:15" s="179" customFormat="1" ht="13.5" customHeight="1" x14ac:dyDescent="0.3">
      <c r="A1" s="147" t="str">
        <f>muni &amp;" " &amp; TableA10</f>
        <v>KZN225 Msunduzi Supporting Table SA10 Funding measurement</v>
      </c>
      <c r="B1" s="147"/>
      <c r="C1" s="147"/>
      <c r="D1" s="147"/>
      <c r="E1" s="147"/>
      <c r="F1" s="147"/>
      <c r="G1" s="147"/>
      <c r="H1" s="147"/>
      <c r="I1" s="147"/>
      <c r="J1" s="147"/>
      <c r="K1" s="147"/>
      <c r="L1" s="147"/>
      <c r="M1" s="147"/>
    </row>
    <row r="2" spans="1:15" ht="28.5" customHeight="1" x14ac:dyDescent="0.25">
      <c r="A2" s="2712" t="str">
        <f>desc</f>
        <v>Description</v>
      </c>
      <c r="B2" s="2723" t="s">
        <v>432</v>
      </c>
      <c r="C2" s="2725" t="str">
        <f>head27</f>
        <v>Ref</v>
      </c>
      <c r="D2" s="150" t="str">
        <f>head1b</f>
        <v>2009/10</v>
      </c>
      <c r="E2" s="150" t="str">
        <f>head1A</f>
        <v>2010/11</v>
      </c>
      <c r="F2" s="146" t="str">
        <f>Head1</f>
        <v>2011/12</v>
      </c>
      <c r="G2" s="2677" t="str">
        <f>Head2</f>
        <v>Current Year 2012/13</v>
      </c>
      <c r="H2" s="2678"/>
      <c r="I2" s="2678"/>
      <c r="J2" s="2678"/>
      <c r="K2" s="2674" t="str">
        <f>Head3</f>
        <v>2013/14 Medium Term Revenue &amp; Expenditure Framework</v>
      </c>
      <c r="L2" s="2675"/>
      <c r="M2" s="2676"/>
    </row>
    <row r="3" spans="1:15" ht="21" x14ac:dyDescent="0.25">
      <c r="A3" s="2713"/>
      <c r="B3" s="2724"/>
      <c r="C3" s="2726"/>
      <c r="D3" s="390" t="str">
        <f>Head5</f>
        <v>Audited Outcome</v>
      </c>
      <c r="E3" s="390" t="str">
        <f>Head5</f>
        <v>Audited Outcome</v>
      </c>
      <c r="F3" s="391" t="str">
        <f>Head5</f>
        <v>Audited Outcome</v>
      </c>
      <c r="G3" s="299" t="str">
        <f>Head6</f>
        <v>Original Budget</v>
      </c>
      <c r="H3" s="928" t="str">
        <f>Head7</f>
        <v>Adjusted Budget</v>
      </c>
      <c r="I3" s="2477" t="str">
        <f>Head8</f>
        <v>Full Year Forecast</v>
      </c>
      <c r="J3" s="2222" t="str">
        <f>Head5b</f>
        <v>Pre-audit outcome</v>
      </c>
      <c r="K3" s="299" t="str">
        <f>Head9</f>
        <v>Budget Year 2013/14</v>
      </c>
      <c r="L3" s="390" t="str">
        <f>Head10</f>
        <v>Budget Year +1 2014/15</v>
      </c>
      <c r="M3" s="391" t="str">
        <f>Head11</f>
        <v>Budget Year +2 2015/16</v>
      </c>
    </row>
    <row r="4" spans="1:15" x14ac:dyDescent="0.25">
      <c r="A4" s="181" t="s">
        <v>1719</v>
      </c>
      <c r="B4" s="552"/>
      <c r="C4" s="553"/>
      <c r="D4" s="972"/>
      <c r="E4" s="554"/>
      <c r="F4" s="555"/>
      <c r="G4" s="201"/>
      <c r="H4" s="554"/>
      <c r="I4" s="555"/>
      <c r="J4" s="246"/>
      <c r="K4" s="556"/>
      <c r="L4" s="554"/>
      <c r="M4" s="555"/>
    </row>
    <row r="5" spans="1:15" x14ac:dyDescent="0.25">
      <c r="A5" s="190" t="str">
        <f>LEFT('A7-CFlow'!A38,37)&amp;" - R'000"</f>
        <v>Cash/cash equivalents at the year end - R'000</v>
      </c>
      <c r="B5" s="557" t="s">
        <v>1322</v>
      </c>
      <c r="C5" s="293">
        <v>1</v>
      </c>
      <c r="D5" s="207">
        <f>'A7-CFlow'!C38</f>
        <v>465435541</v>
      </c>
      <c r="E5" s="558">
        <f>'A7-CFlow'!D38</f>
        <v>621238493</v>
      </c>
      <c r="F5" s="559">
        <f>'A7-CFlow'!E38</f>
        <v>910934464</v>
      </c>
      <c r="G5" s="251">
        <f>'A7-CFlow'!F38</f>
        <v>511892000</v>
      </c>
      <c r="H5" s="558">
        <f>'A7-CFlow'!G38</f>
        <v>647709709</v>
      </c>
      <c r="I5" s="559">
        <f>'A7-CFlow'!H38</f>
        <v>648239709</v>
      </c>
      <c r="J5" s="210">
        <f>'A7-CFlow'!I38</f>
        <v>648239709</v>
      </c>
      <c r="K5" s="211">
        <f>'A7-CFlow'!J38</f>
        <v>691164000</v>
      </c>
      <c r="L5" s="558">
        <f>'A7-CFlow'!K38</f>
        <v>820693000</v>
      </c>
      <c r="M5" s="559">
        <f>'A7-CFlow'!L38</f>
        <v>1002039000</v>
      </c>
    </row>
    <row r="6" spans="1:15" x14ac:dyDescent="0.25">
      <c r="A6" s="190" t="s">
        <v>1387</v>
      </c>
      <c r="B6" s="557" t="s">
        <v>1322</v>
      </c>
      <c r="C6" s="293">
        <v>2</v>
      </c>
      <c r="D6" s="207">
        <f>'A8-ResRecon'!C8-'A8-ResRecon'!C18</f>
        <v>-721748273</v>
      </c>
      <c r="E6" s="558">
        <f>'A8-ResRecon'!D8-'A8-ResRecon'!D18</f>
        <v>-356195734</v>
      </c>
      <c r="F6" s="559">
        <f>'A8-ResRecon'!E8-'A8-ResRecon'!E18</f>
        <v>589026902.75</v>
      </c>
      <c r="G6" s="251">
        <f>'A8-ResRecon'!F8-'A8-ResRecon'!F18</f>
        <v>424033408</v>
      </c>
      <c r="H6" s="558">
        <f>'A8-ResRecon'!G8-'A8-ResRecon'!G18</f>
        <v>1364892245</v>
      </c>
      <c r="I6" s="559">
        <f>'A8-ResRecon'!H8-'A8-ResRecon'!H18</f>
        <v>717583117</v>
      </c>
      <c r="J6" s="210">
        <f>'A8-ResRecon'!I8-'A8-ResRecon'!I18</f>
        <v>1364893245</v>
      </c>
      <c r="K6" s="211">
        <f>'A8-ResRecon'!J8-'A8-ResRecon'!J18</f>
        <v>911230904.09899998</v>
      </c>
      <c r="L6" s="558">
        <f>'A8-ResRecon'!K8-'A8-ResRecon'!K18</f>
        <v>809534107.49985087</v>
      </c>
      <c r="M6" s="559">
        <f>'A8-ResRecon'!L8-'A8-ResRecon'!L18</f>
        <v>1770781781</v>
      </c>
    </row>
    <row r="7" spans="1:15" x14ac:dyDescent="0.25">
      <c r="A7" s="190" t="s">
        <v>284</v>
      </c>
      <c r="B7" s="557" t="s">
        <v>1322</v>
      </c>
      <c r="C7" s="293">
        <v>3</v>
      </c>
      <c r="D7" s="973">
        <f>IF(ISERROR('SA8'!C37),0,('SA8'!C37))</f>
        <v>2.6088383033661233</v>
      </c>
      <c r="E7" s="561">
        <f>IF(ISERROR('SA8'!D37),0,('SA8'!D37))</f>
        <v>3.5552958404189936</v>
      </c>
      <c r="F7" s="562">
        <f>IF(ISERROR('SA8'!E37),0,('SA8'!E37))</f>
        <v>5.0866054447744844</v>
      </c>
      <c r="G7" s="563">
        <f>IF(ISERROR('SA8'!F37),0,('SA8'!F37))</f>
        <v>2.3081025700902407</v>
      </c>
      <c r="H7" s="561">
        <f>IF(ISERROR('SA8'!G37),0,('SA8'!G37))</f>
        <v>2.8299283938052753</v>
      </c>
      <c r="I7" s="562">
        <f>IF(ISERROR('SA8'!H37),0,('SA8'!H37))</f>
        <v>2.8322455530873265</v>
      </c>
      <c r="J7" s="560">
        <f>IF(ISERROR('SA8'!I37),0,('SA8'!I37))</f>
        <v>2.8322453788137243</v>
      </c>
      <c r="K7" s="564">
        <f>IF(ISERROR('SA8'!J37),0,('SA8'!J37))</f>
        <v>2.8773613863221277</v>
      </c>
      <c r="L7" s="561">
        <f>IF(ISERROR('SA8'!K37),0,('SA8'!K37))</f>
        <v>3.2226462311815753</v>
      </c>
      <c r="M7" s="562">
        <f>IF(ISERROR('SA8'!L37),0,('SA8'!L37))</f>
        <v>3.4125102468402817</v>
      </c>
    </row>
    <row r="8" spans="1:15" x14ac:dyDescent="0.25">
      <c r="A8" s="190" t="s">
        <v>1263</v>
      </c>
      <c r="B8" s="557" t="s">
        <v>1323</v>
      </c>
      <c r="C8" s="293">
        <v>4</v>
      </c>
      <c r="D8" s="207">
        <f>'A4-FinPerf RE'!C42+'SA3'!C60</f>
        <v>-231264432</v>
      </c>
      <c r="E8" s="558">
        <f>'A4-FinPerf RE'!D42+'SA3'!D60</f>
        <v>94779189</v>
      </c>
      <c r="F8" s="559">
        <f>'A4-FinPerf RE'!E42+'SA3'!E60</f>
        <v>234467772.44999981</v>
      </c>
      <c r="G8" s="251">
        <f>'A4-FinPerf RE'!F42+'SA3'!F60</f>
        <v>5143793.5351138115</v>
      </c>
      <c r="H8" s="558">
        <f>'A4-FinPerf RE'!G42+'SA3'!G60</f>
        <v>8791034</v>
      </c>
      <c r="I8" s="559">
        <f>'A4-FinPerf RE'!H42+'SA3'!H60</f>
        <v>8792508</v>
      </c>
      <c r="J8" s="210">
        <f>'A4-FinPerf RE'!I42+'SA3'!I60</f>
        <v>8791888</v>
      </c>
      <c r="K8" s="211">
        <f>'A4-FinPerf RE'!J42+'SA3'!J60</f>
        <v>66585819</v>
      </c>
      <c r="L8" s="558">
        <f>'A4-FinPerf RE'!K42+'SA3'!K60</f>
        <v>64556904</v>
      </c>
      <c r="M8" s="559">
        <f>'A4-FinPerf RE'!L42+'SA3'!L60</f>
        <v>50000766.606109142</v>
      </c>
    </row>
    <row r="9" spans="1:15" x14ac:dyDescent="0.25">
      <c r="A9" s="325" t="s">
        <v>1577</v>
      </c>
      <c r="B9" s="565" t="s">
        <v>1320</v>
      </c>
      <c r="C9" s="294">
        <v>5</v>
      </c>
      <c r="D9" s="622" t="s">
        <v>1435</v>
      </c>
      <c r="E9" s="566">
        <f>IF(ISERROR(E36-E61),0,(E36-E61))</f>
        <v>0.14299654322425398</v>
      </c>
      <c r="F9" s="567">
        <f t="shared" ref="F9:M9" si="0">IF(ISERROR(F36-F61),0,(F36-F61))</f>
        <v>9.1130765000646596E-2</v>
      </c>
      <c r="G9" s="570">
        <f t="shared" si="0"/>
        <v>8.5397502698250138E-2</v>
      </c>
      <c r="H9" s="569">
        <f t="shared" si="0"/>
        <v>-4.3392647092463876E-2</v>
      </c>
      <c r="I9" s="567">
        <f t="shared" si="0"/>
        <v>-0.06</v>
      </c>
      <c r="J9" s="570">
        <f t="shared" si="0"/>
        <v>-0.06</v>
      </c>
      <c r="K9" s="571">
        <f>IF(ISERROR(K36-K61),0,(K36-K61))</f>
        <v>2.070356386808464E-2</v>
      </c>
      <c r="L9" s="569">
        <f t="shared" si="0"/>
        <v>2.5992841066645289E-2</v>
      </c>
      <c r="M9" s="567">
        <f t="shared" si="0"/>
        <v>2.6532294382309918E-2</v>
      </c>
    </row>
    <row r="10" spans="1:15" x14ac:dyDescent="0.25">
      <c r="A10" s="325" t="s">
        <v>102</v>
      </c>
      <c r="B10" s="565" t="s">
        <v>1320</v>
      </c>
      <c r="C10" s="294">
        <v>6</v>
      </c>
      <c r="D10" s="623">
        <f>IF(ISERROR(D53/D54),0,(D53/D54))</f>
        <v>0.88956500130891203</v>
      </c>
      <c r="E10" s="569">
        <f t="shared" ref="E10:M10" si="1">IF(ISERROR(E53/E54),0,(E53/E54))</f>
        <v>0.94141647486959179</v>
      </c>
      <c r="F10" s="567">
        <f t="shared" si="1"/>
        <v>1.1595371722317929</v>
      </c>
      <c r="G10" s="570">
        <f t="shared" si="1"/>
        <v>0.90410135444897965</v>
      </c>
      <c r="H10" s="569">
        <f t="shared" si="1"/>
        <v>1.1126710513877263</v>
      </c>
      <c r="I10" s="567">
        <f t="shared" si="1"/>
        <v>1.1126710513877263</v>
      </c>
      <c r="J10" s="570">
        <f t="shared" si="1"/>
        <v>1.1126714638997157</v>
      </c>
      <c r="K10" s="571">
        <f t="shared" si="1"/>
        <v>1.0693679652982286</v>
      </c>
      <c r="L10" s="569">
        <f t="shared" si="1"/>
        <v>0.94475304452379638</v>
      </c>
      <c r="M10" s="567">
        <f t="shared" si="1"/>
        <v>0.9250196637307142</v>
      </c>
    </row>
    <row r="11" spans="1:15" x14ac:dyDescent="0.25">
      <c r="A11" s="325" t="s">
        <v>174</v>
      </c>
      <c r="B11" s="565" t="s">
        <v>1320</v>
      </c>
      <c r="C11" s="294">
        <v>7</v>
      </c>
      <c r="D11" s="623">
        <f>IF(ISERROR('A4-FinPerf RE'!C27/'SA10'!D43),0,('A4-FinPerf RE'!C27/'SA10'!D43))</f>
        <v>0.1551149127894316</v>
      </c>
      <c r="E11" s="569">
        <f>IF(ISERROR('A4-FinPerf RE'!D27/'SA10'!E43),0,('A4-FinPerf RE'!D27/'SA10'!E43))</f>
        <v>4.9443210750721868E-2</v>
      </c>
      <c r="F11" s="567">
        <f>IF(ISERROR('A4-FinPerf RE'!E27/'SA10'!F43),0,('A4-FinPerf RE'!E27/'SA10'!F43))</f>
        <v>2.6066657729710414E-2</v>
      </c>
      <c r="G11" s="570">
        <f>IF(ISERROR('A4-FinPerf RE'!F27/'SA10'!G43),0,('A4-FinPerf RE'!F27/'SA10'!G43))</f>
        <v>9.791353815390258E-2</v>
      </c>
      <c r="H11" s="569">
        <f>IF(ISERROR('A4-FinPerf RE'!G27/'SA10'!H43),0,('A4-FinPerf RE'!G27/'SA10'!H43))</f>
        <v>9.6162652695059636E-2</v>
      </c>
      <c r="I11" s="567">
        <f>IF(ISERROR('A4-FinPerf RE'!H27/'SA10'!I43),0,('A4-FinPerf RE'!H27/'SA10'!I43))</f>
        <v>9.6162652695059636E-2</v>
      </c>
      <c r="J11" s="570">
        <f>IF(ISERROR('A4-FinPerf RE'!I27/'SA10'!J43),0,('A4-FinPerf RE'!I27/'SA10'!J43))</f>
        <v>9.6162689633502649E-2</v>
      </c>
      <c r="K11" s="571">
        <f>IF(ISERROR('A4-FinPerf RE'!J27/'SA10'!K43),0,('A4-FinPerf RE'!J27/'SA10'!K43))</f>
        <v>4.8868358814148166E-2</v>
      </c>
      <c r="L11" s="569">
        <f>IF(ISERROR('A4-FinPerf RE'!K27/'SA10'!L43),0,('A4-FinPerf RE'!K27/'SA10'!L43))</f>
        <v>5.0425393080486262E-2</v>
      </c>
      <c r="M11" s="567">
        <f>IF(ISERROR('A4-FinPerf RE'!L27/'SA10'!M43),0,('A4-FinPerf RE'!L27/'SA10'!M43))</f>
        <v>4.7766859117730966E-2</v>
      </c>
    </row>
    <row r="12" spans="1:15" x14ac:dyDescent="0.25">
      <c r="A12" s="325" t="s">
        <v>1807</v>
      </c>
      <c r="B12" s="565" t="s">
        <v>1321</v>
      </c>
      <c r="C12" s="294">
        <v>8</v>
      </c>
      <c r="D12" s="623">
        <f>IF(ISERROR(-'A7-CFlow'!C24/'A5-Capex'!C40),0,(-'A7-CFlow'!C24/'A5-Capex'!C40))</f>
        <v>0.88029565987363356</v>
      </c>
      <c r="E12" s="623">
        <f>IF(ISERROR(-'A7-CFlow'!D24/'A5-Capex'!D40),0,(-'A7-CFlow'!D24/'A5-Capex'!D40))</f>
        <v>2.8016565621346752</v>
      </c>
      <c r="F12" s="567">
        <f>IF(ISERROR(-'A7-CFlow'!E24/'A5-Capex'!E40),0,(-'A7-CFlow'!E24/'A5-Capex'!E40))</f>
        <v>-0.66371848700429359</v>
      </c>
      <c r="G12" s="1571">
        <f>IF(ISERROR(-'A7-CFlow'!F24/'A5-Capex'!F40),0,(-'A7-CFlow'!F24/'A5-Capex'!F40))</f>
        <v>1</v>
      </c>
      <c r="H12" s="623">
        <f>IF(ISERROR(-'A7-CFlow'!G24/'A5-Capex'!G40),0,(-'A7-CFlow'!G24/'A5-Capex'!G40))</f>
        <v>0.85205567935381343</v>
      </c>
      <c r="I12" s="567">
        <f>IF(ISERROR(-'A7-CFlow'!H24/'A5-Capex'!H40),0,(-'A7-CFlow'!H24/'A5-Capex'!H40))</f>
        <v>0.85205567935381343</v>
      </c>
      <c r="J12" s="584">
        <f>IF(ISERROR(-'A7-CFlow'!I24/'A5-Capex'!I40),0,(-'A7-CFlow'!I24/'A5-Capex'!I40))</f>
        <v>0.85205567935381343</v>
      </c>
      <c r="K12" s="1571">
        <f>IF(ISERROR(-'A7-CFlow'!J24/'A5-Capex'!J40),0,(-'A7-CFlow'!J24/'A5-Capex'!J40))</f>
        <v>0.87385801580153799</v>
      </c>
      <c r="L12" s="623">
        <f>IF(ISERROR(-'A7-CFlow'!K24/'A5-Capex'!K40),0,(-'A7-CFlow'!K24/'A5-Capex'!K40))</f>
        <v>0.76403128945101884</v>
      </c>
      <c r="M12" s="567">
        <f>IF(ISERROR(-'A7-CFlow'!L24/'A5-Capex'!L40),0,(-'A7-CFlow'!L24/'A5-Capex'!L40))</f>
        <v>0.79372086307190892</v>
      </c>
    </row>
    <row r="13" spans="1:15" x14ac:dyDescent="0.25">
      <c r="A13" s="325" t="s">
        <v>13</v>
      </c>
      <c r="B13" s="565" t="s">
        <v>434</v>
      </c>
      <c r="C13" s="294">
        <v>9</v>
      </c>
      <c r="D13" s="623">
        <f>IF(ISERROR('A7-CFlow'!C30/'SA10'!D52),0,('A7-CFlow'!C30/'SA10'!D52))</f>
        <v>1.9319171480680652</v>
      </c>
      <c r="E13" s="569">
        <f>IF(ISERROR('A7-CFlow'!D30/'SA10'!E52),0,('A7-CFlow'!D30/'SA10'!E52))</f>
        <v>-2.1470408091537663</v>
      </c>
      <c r="F13" s="567">
        <f>IF(ISERROR('A7-CFlow'!E30/'SA10'!F52),0,('A7-CFlow'!E30/'SA10'!F52))</f>
        <v>1.5003630864884459</v>
      </c>
      <c r="G13" s="570">
        <f>IF(ISERROR('A7-CFlow'!F30/'SA10'!G52),0,('A7-CFlow'!F30/'SA10'!G52))</f>
        <v>0</v>
      </c>
      <c r="H13" s="569">
        <f>IF(ISERROR('A7-CFlow'!G30/'SA10'!H52),0,('A7-CFlow'!G30/'SA10'!H52))</f>
        <v>0</v>
      </c>
      <c r="I13" s="567">
        <f>IF(ISERROR('A7-CFlow'!H30/'SA10'!I52),0,('A7-CFlow'!H30/'SA10'!I52))</f>
        <v>0</v>
      </c>
      <c r="J13" s="570">
        <f>IF(ISERROR('A7-CFlow'!I30/'SA10'!J52),0,('A7-CFlow'!I30/'SA10'!J52))</f>
        <v>0</v>
      </c>
      <c r="K13" s="571">
        <f>IF(ISERROR('A7-CFlow'!J30/'SA10'!K52),0,('A7-CFlow'!J30/'SA10'!K52))</f>
        <v>0</v>
      </c>
      <c r="L13" s="569">
        <f>IF(ISERROR('A7-CFlow'!K30/'SA10'!L52),0,('A7-CFlow'!K30/'SA10'!L52))</f>
        <v>0</v>
      </c>
      <c r="M13" s="567">
        <f>IF(ISERROR('A7-CFlow'!L30/'SA10'!M52),0,('A7-CFlow'!L30/'SA10'!M52))</f>
        <v>-0.85740000000000005</v>
      </c>
    </row>
    <row r="14" spans="1:15" ht="14.25" customHeight="1" x14ac:dyDescent="0.25">
      <c r="A14" s="325" t="s">
        <v>716</v>
      </c>
      <c r="B14" s="565" t="s">
        <v>433</v>
      </c>
      <c r="C14" s="294">
        <v>10</v>
      </c>
      <c r="D14" s="2102"/>
      <c r="E14" s="2103"/>
      <c r="F14" s="2104"/>
      <c r="G14" s="2105"/>
      <c r="H14" s="2103"/>
      <c r="I14" s="2104"/>
      <c r="J14" s="2105"/>
      <c r="K14" s="571">
        <f>IF(ISERROR(K56/K68),0,(K56/K68))</f>
        <v>0</v>
      </c>
      <c r="L14" s="569">
        <f>IF(ISERROR(L56/L68),0,(L56/L68))</f>
        <v>0</v>
      </c>
      <c r="M14" s="567">
        <f>IF(ISERROR(M56/M68),0,(M56/M68))</f>
        <v>0</v>
      </c>
      <c r="N14" s="1532"/>
      <c r="O14" s="1532"/>
    </row>
    <row r="15" spans="1:15" x14ac:dyDescent="0.25">
      <c r="A15" s="325" t="s">
        <v>717</v>
      </c>
      <c r="B15" s="565" t="s">
        <v>433</v>
      </c>
      <c r="C15" s="294">
        <v>11</v>
      </c>
      <c r="D15" s="622" t="s">
        <v>1435</v>
      </c>
      <c r="E15" s="569">
        <f>IF(ISERROR(ROUND((SUM('A6-FinPos'!D8:D10)-SUM('A6-FinPos'!C8:C10))/SUM('A6-FinPos'!C8:C10),3)),0,(ROUND((SUM('A6-FinPos'!D8:D10)-SUM('A6-FinPos'!C8:C10))/SUM('A6-FinPos'!C8:C10),3)))</f>
        <v>-2.8000000000000001E-2</v>
      </c>
      <c r="F15" s="567">
        <f>IF(ISERROR(ROUND((SUM('A6-FinPos'!E8:E10)-SUM('A6-FinPos'!D8:D10))/SUM('A6-FinPos'!D8:D10),3)),0,(ROUND((SUM('A6-FinPos'!E8:E10)-SUM('A6-FinPos'!D8:D10))/SUM('A6-FinPos'!D8:D10),3)))</f>
        <v>1.323</v>
      </c>
      <c r="G15" s="570">
        <f>IF(ISERROR(ROUND((SUM('A6-FinPos'!F8:F10)-SUM('A6-FinPos'!E8:E10))/SUM('A6-FinPos'!E8:E10),3)),0,(ROUND((SUM('A6-FinPos'!F8:F10)-SUM('A6-FinPos'!E8:E10))/SUM('A6-FinPos'!E8:E10),3)))</f>
        <v>0.40699999999999997</v>
      </c>
      <c r="H15" s="569">
        <f>IF(ISERROR(ROUND((SUM('A6-FinPos'!G8:G10)-SUM('A6-FinPos'!F8:F10))/SUM('A6-FinPos'!F8:F10),3)),0,(ROUND((SUM('A6-FinPos'!G8:G10)-SUM('A6-FinPos'!F8:F10))/SUM('A6-FinPos'!F8:F10),3)))</f>
        <v>0</v>
      </c>
      <c r="I15" s="567">
        <f>IF(ISERROR(ROUND((SUM('A6-FinPos'!H8:H10)-SUM('A6-FinPos'!G8:G10))/SUM('A6-FinPos'!G8:G10),3)),0,(ROUND((SUM('A6-FinPos'!H8:H10)-SUM('A6-FinPos'!G8:G10))/SUM('A6-FinPos'!G8:G10),3)))</f>
        <v>0</v>
      </c>
      <c r="J15" s="570">
        <f>IF(ISERROR(ROUND((SUM('A6-FinPos'!I8:I10)-SUM('A6-FinPos'!H8:H10))/SUM('A6-FinPos'!H8:H10),3)),0,(ROUND((SUM('A6-FinPos'!I8:I10)-SUM('A6-FinPos'!H8:H10))/SUM('A6-FinPos'!H8:H10),3)))</f>
        <v>0</v>
      </c>
      <c r="K15" s="571">
        <f>IF(ISERROR(ROUND((SUM('A6-FinPos'!J8:J10)-SUM('A6-FinPos'!G8:G10))/SUM('A6-FinPos'!G8:G10),3)),0,(ROUND((SUM('A6-FinPos'!J8:J10)-SUM('A6-FinPos'!G8:G10))/SUM('A6-FinPos'!G8:G10),3)))</f>
        <v>0.33700000000000002</v>
      </c>
      <c r="L15" s="569">
        <f>IF(ISERROR(ROUND((SUM('A6-FinPos'!K8:K10)-SUM('A6-FinPos'!J8:J10))/SUM('A6-FinPos'!J8:J10),3)),0,(ROUND((SUM('A6-FinPos'!K8:K10)-SUM('A6-FinPos'!J8:J10))/SUM('A6-FinPos'!J8:J10),3)))</f>
        <v>-6.6000000000000003E-2</v>
      </c>
      <c r="M15" s="567">
        <f>IF(ISERROR(ROUND((SUM('A6-FinPos'!L8:L10)-SUM('A6-FinPos'!K8:K10))/SUM('A6-FinPos'!K8:K10),3)),0,(ROUND((SUM('A6-FinPos'!L8:L10)-SUM('A6-FinPos'!K8:K10))/SUM('A6-FinPos'!K8:K10),3)))</f>
        <v>-0.153</v>
      </c>
    </row>
    <row r="16" spans="1:15" x14ac:dyDescent="0.25">
      <c r="A16" s="190" t="s">
        <v>1433</v>
      </c>
      <c r="B16" s="557" t="s">
        <v>433</v>
      </c>
      <c r="C16" s="293">
        <v>12</v>
      </c>
      <c r="D16" s="622" t="s">
        <v>1435</v>
      </c>
      <c r="E16" s="569">
        <f>IF(ISERROR(ROUND(('A6-FinPos'!D15-'A6-FinPos'!C15)/'A6-FinPos'!C15,3)),0,(ROUND(('A6-FinPos'!D15-'A6-FinPos'!C15)/'A6-FinPos'!C15,3)))</f>
        <v>0</v>
      </c>
      <c r="F16" s="567">
        <f>IF(ISERROR(ROUND(('A6-FinPos'!E15-'A6-FinPos'!D15)/'A6-FinPos'!D15,3)),0,(ROUND(('A6-FinPos'!E15-'A6-FinPos'!D15)/'A6-FinPos'!D15,3)))</f>
        <v>0</v>
      </c>
      <c r="G16" s="570">
        <f>IF(ISERROR(ROUND(('A6-FinPos'!F15-'A6-FinPos'!E15)/'A6-FinPos'!E15,3)),0,(ROUND(('A6-FinPos'!F15-'A6-FinPos'!E15)/'A6-FinPos'!E15,3)))</f>
        <v>0</v>
      </c>
      <c r="H16" s="569">
        <f>IF(ISERROR(ROUND(('A6-FinPos'!G15-'A6-FinPos'!F15)/'A6-FinPos'!F15,3)),0,(ROUND(('A6-FinPos'!G15-'A6-FinPos'!F15)/'A6-FinPos'!F15,3)))</f>
        <v>0</v>
      </c>
      <c r="I16" s="567">
        <f>IF(ISERROR(ROUND(('A6-FinPos'!H15-'A6-FinPos'!G15)/'A6-FinPos'!G15,3)),0,(ROUND(('A6-FinPos'!H15-'A6-FinPos'!G15)/'A6-FinPos'!G15,3)))</f>
        <v>0</v>
      </c>
      <c r="J16" s="570">
        <f>IF(ISERROR(ROUND(('A6-FinPos'!I15-'A6-FinPos'!H15)/'A6-FinPos'!H15,3)),0,(ROUND(('A6-FinPos'!I15-'A6-FinPos'!H15)/'A6-FinPos'!H15,3)))</f>
        <v>0</v>
      </c>
      <c r="K16" s="571">
        <f>IF(ISERROR(ROUND(('A6-FinPos'!J15-'A6-FinPos'!G15)/'A6-FinPos'!G15,3)),0,(ROUND(('A6-FinPos'!J15-'A6-FinPos'!G15)/'A6-FinPos'!G15,3)))</f>
        <v>5.2999999999999999E-2</v>
      </c>
      <c r="L16" s="569">
        <f>IF(ISERROR(ROUND(('A6-FinPos'!K15-'A6-FinPos'!J15)/'A6-FinPos'!J15,3)),0,(ROUND(('A6-FinPos'!K15-'A6-FinPos'!J15)/'A6-FinPos'!J15,3)))</f>
        <v>4.9000000000000002E-2</v>
      </c>
      <c r="M16" s="567">
        <f>IF(ISERROR(ROUND(('A6-FinPos'!L15-'A6-FinPos'!K15)/'A6-FinPos'!K15,3)),0,(ROUND(('A6-FinPos'!L15-'A6-FinPos'!K15)/'A6-FinPos'!K15,3)))</f>
        <v>1.9E-2</v>
      </c>
    </row>
    <row r="17" spans="1:13" x14ac:dyDescent="0.25">
      <c r="A17" s="190" t="s">
        <v>101</v>
      </c>
      <c r="B17" s="572" t="s">
        <v>1324</v>
      </c>
      <c r="C17" s="293">
        <v>13</v>
      </c>
      <c r="D17" s="623">
        <f>IF(ISERROR('A9-Asset'!C69/'A6-FinPos'!C19),0,('A9-Asset'!C69/'A6-FinPos'!C19))</f>
        <v>1.8996654171701887E-2</v>
      </c>
      <c r="E17" s="623">
        <f>IF(ISERROR('A9-Asset'!D69/'A6-FinPos'!D19),0,('A9-Asset'!D69/'A6-FinPos'!D19))</f>
        <v>1.0261132928162971E-2</v>
      </c>
      <c r="F17" s="567">
        <f>IF(ISERROR('A9-Asset'!E69/'A6-FinPos'!E19),0,('A9-Asset'!E69/'A6-FinPos'!E19))</f>
        <v>6.2105066601069701E-3</v>
      </c>
      <c r="G17" s="1571">
        <f>IF(ISERROR('A9-Asset'!F69/'A6-FinPos'!F19),0,('A9-Asset'!F69/'A6-FinPos'!F19))</f>
        <v>1.3293718566203701E-2</v>
      </c>
      <c r="H17" s="623">
        <f>IF(ISERROR('A9-Asset'!G69/'A6-FinPos'!G19),0,('A9-Asset'!G69/'A6-FinPos'!G19))</f>
        <v>1.3309062365330871E-2</v>
      </c>
      <c r="I17" s="567">
        <f>IF(ISERROR('A9-Asset'!H69/'A6-FinPos'!H19),0,('A9-Asset'!H69/'A6-FinPos'!H19))</f>
        <v>1.3309089642798502E-2</v>
      </c>
      <c r="J17" s="585">
        <f>IF(ISERROR('A9-Asset'!I69/'A6-FinPos'!I19),0,('A9-Asset'!I69/'A6-FinPos'!I19))</f>
        <v>1.4207227094782766E-2</v>
      </c>
      <c r="K17" s="1571">
        <f>IF(ISERROR('A9-Asset'!I69/'A6-FinPos'!J19),0,('A9-Asset'!I69/'A6-FinPos'!J19))</f>
        <v>1.465394597554562E-2</v>
      </c>
      <c r="L17" s="623">
        <f>IF(ISERROR('A9-Asset'!J69/'A6-FinPos'!K19),0,('A9-Asset'!J69/'A6-FinPos'!K19))</f>
        <v>1.5378999639767339E-2</v>
      </c>
      <c r="M17" s="567">
        <f>IF(ISERROR('A9-Asset'!K69/'A6-FinPos'!L19),0,('A9-Asset'!K69/'A6-FinPos'!L19))</f>
        <v>1.9634908454703965E-2</v>
      </c>
    </row>
    <row r="18" spans="1:13" x14ac:dyDescent="0.25">
      <c r="A18" s="190" t="s">
        <v>985</v>
      </c>
      <c r="B18" s="572" t="str">
        <f>B17</f>
        <v>20(1)(vi)</v>
      </c>
      <c r="C18" s="293">
        <v>14</v>
      </c>
      <c r="D18" s="623">
        <f t="shared" ref="D18:L18" si="2">IF(ISERROR(D58/D57),0,(D58/D57))</f>
        <v>0.54427142762128466</v>
      </c>
      <c r="E18" s="569">
        <f t="shared" si="2"/>
        <v>0.79912595903117989</v>
      </c>
      <c r="F18" s="567">
        <f t="shared" si="2"/>
        <v>0</v>
      </c>
      <c r="G18" s="568">
        <f t="shared" si="2"/>
        <v>0.52132300642569585</v>
      </c>
      <c r="H18" s="569">
        <f t="shared" si="2"/>
        <v>0.56206438137145154</v>
      </c>
      <c r="I18" s="567">
        <f t="shared" si="2"/>
        <v>0.56206438137145154</v>
      </c>
      <c r="J18" s="570">
        <f t="shared" si="2"/>
        <v>0</v>
      </c>
      <c r="K18" s="571">
        <f t="shared" si="2"/>
        <v>0.60465312858442555</v>
      </c>
      <c r="L18" s="569">
        <f t="shared" si="2"/>
        <v>0.7390893967459915</v>
      </c>
      <c r="M18" s="567">
        <f>IF(ISERROR(M58/M57),0,((M58/M57)))</f>
        <v>0.78551095342217092</v>
      </c>
    </row>
    <row r="19" spans="1:13" ht="6" customHeight="1" x14ac:dyDescent="0.25">
      <c r="A19" s="336"/>
      <c r="B19" s="573"/>
      <c r="C19" s="574"/>
      <c r="D19" s="574"/>
      <c r="E19" s="573"/>
      <c r="F19" s="576"/>
      <c r="G19" s="577"/>
      <c r="H19" s="573"/>
      <c r="I19" s="576"/>
      <c r="J19" s="575"/>
      <c r="K19" s="578"/>
      <c r="L19" s="573"/>
      <c r="M19" s="576"/>
    </row>
    <row r="20" spans="1:13" x14ac:dyDescent="0.25">
      <c r="A20" s="974" t="str">
        <f>head27a</f>
        <v>References</v>
      </c>
      <c r="B20" s="579"/>
      <c r="C20" s="579"/>
      <c r="D20" s="579"/>
      <c r="E20" s="579"/>
      <c r="F20" s="579"/>
      <c r="G20" s="579"/>
      <c r="H20" s="579"/>
      <c r="I20" s="579"/>
      <c r="J20" s="579"/>
      <c r="K20" s="579"/>
      <c r="L20" s="579"/>
      <c r="M20" s="579"/>
    </row>
    <row r="21" spans="1:13" x14ac:dyDescent="0.25">
      <c r="A21" s="239" t="s">
        <v>480</v>
      </c>
      <c r="B21" s="580"/>
      <c r="C21" s="580"/>
      <c r="D21" s="580"/>
      <c r="E21" s="580"/>
      <c r="F21" s="580"/>
      <c r="G21" s="580"/>
      <c r="H21" s="580"/>
      <c r="I21" s="580"/>
      <c r="J21" s="580"/>
      <c r="K21" s="580"/>
      <c r="L21" s="580"/>
      <c r="M21" s="580"/>
    </row>
    <row r="22" spans="1:13" x14ac:dyDescent="0.25">
      <c r="A22" s="287" t="s">
        <v>1388</v>
      </c>
      <c r="B22" s="580"/>
      <c r="C22" s="580"/>
      <c r="D22" s="580"/>
      <c r="E22" s="580"/>
      <c r="F22" s="580"/>
      <c r="G22" s="580"/>
      <c r="H22" s="580"/>
      <c r="I22" s="580"/>
      <c r="J22" s="580"/>
      <c r="K22" s="580"/>
      <c r="L22" s="580"/>
      <c r="M22" s="580"/>
    </row>
    <row r="23" spans="1:13" x14ac:dyDescent="0.25">
      <c r="A23" s="287" t="s">
        <v>683</v>
      </c>
      <c r="B23" s="580"/>
      <c r="C23" s="580"/>
      <c r="D23" s="580"/>
      <c r="E23" s="580"/>
      <c r="F23" s="580"/>
      <c r="G23" s="580"/>
      <c r="H23" s="580"/>
      <c r="I23" s="580"/>
      <c r="J23" s="580"/>
      <c r="K23" s="580"/>
      <c r="L23" s="580"/>
      <c r="M23" s="580"/>
    </row>
    <row r="24" spans="1:13" x14ac:dyDescent="0.25">
      <c r="A24" s="287" t="s">
        <v>684</v>
      </c>
      <c r="B24" s="580"/>
      <c r="C24" s="580"/>
      <c r="D24" s="580"/>
      <c r="E24" s="580"/>
      <c r="F24" s="580"/>
      <c r="G24" s="580"/>
      <c r="H24" s="580"/>
      <c r="I24" s="580"/>
      <c r="J24" s="580"/>
      <c r="K24" s="580"/>
      <c r="L24" s="580"/>
      <c r="M24" s="580"/>
    </row>
    <row r="25" spans="1:13" x14ac:dyDescent="0.25">
      <c r="A25" s="287" t="s">
        <v>786</v>
      </c>
      <c r="B25" s="580"/>
      <c r="C25" s="580"/>
      <c r="D25" s="580"/>
      <c r="E25" s="580"/>
      <c r="F25" s="580"/>
      <c r="G25" s="580"/>
      <c r="H25" s="580"/>
      <c r="I25" s="580"/>
      <c r="J25" s="580"/>
      <c r="K25" s="580"/>
      <c r="L25" s="580"/>
      <c r="M25" s="580"/>
    </row>
    <row r="26" spans="1:13" x14ac:dyDescent="0.25">
      <c r="A26" s="287" t="s">
        <v>1049</v>
      </c>
      <c r="B26" s="580"/>
      <c r="C26" s="580"/>
      <c r="D26" s="580"/>
      <c r="E26" s="580"/>
      <c r="F26" s="580"/>
      <c r="G26" s="580"/>
      <c r="H26" s="580"/>
      <c r="I26" s="580"/>
      <c r="J26" s="580"/>
      <c r="K26" s="580"/>
      <c r="L26" s="580"/>
      <c r="M26" s="580"/>
    </row>
    <row r="27" spans="1:13" x14ac:dyDescent="0.25">
      <c r="A27" s="287" t="s">
        <v>672</v>
      </c>
      <c r="B27" s="580"/>
      <c r="C27" s="580"/>
      <c r="D27" s="580"/>
      <c r="E27" s="580"/>
      <c r="F27" s="580"/>
      <c r="G27" s="580"/>
      <c r="H27" s="580"/>
      <c r="I27" s="580"/>
      <c r="J27" s="580"/>
      <c r="K27" s="580"/>
      <c r="L27" s="580"/>
      <c r="M27" s="580"/>
    </row>
    <row r="28" spans="1:13" x14ac:dyDescent="0.25">
      <c r="A28" s="287" t="s">
        <v>1048</v>
      </c>
      <c r="B28" s="580"/>
      <c r="C28" s="580"/>
      <c r="D28" s="580"/>
      <c r="E28" s="580"/>
      <c r="F28" s="580"/>
      <c r="G28" s="580"/>
      <c r="H28" s="580"/>
      <c r="I28" s="580"/>
      <c r="J28" s="580"/>
      <c r="K28" s="580"/>
      <c r="L28" s="580"/>
      <c r="M28" s="580"/>
    </row>
    <row r="29" spans="1:13" x14ac:dyDescent="0.25">
      <c r="A29" s="287" t="s">
        <v>1213</v>
      </c>
      <c r="B29" s="580"/>
      <c r="C29" s="580"/>
      <c r="D29" s="580"/>
      <c r="E29" s="580"/>
      <c r="F29" s="580"/>
      <c r="G29" s="580"/>
      <c r="H29" s="580"/>
      <c r="I29" s="580"/>
      <c r="J29" s="580"/>
      <c r="K29" s="580"/>
      <c r="L29" s="580"/>
      <c r="M29" s="580"/>
    </row>
    <row r="30" spans="1:13" x14ac:dyDescent="0.25">
      <c r="A30" s="287" t="s">
        <v>345</v>
      </c>
      <c r="B30" s="580"/>
      <c r="C30" s="580"/>
      <c r="D30" s="580"/>
      <c r="E30" s="580"/>
      <c r="F30" s="580"/>
      <c r="G30" s="580"/>
      <c r="H30" s="580"/>
      <c r="I30" s="580"/>
      <c r="J30" s="580"/>
      <c r="K30" s="580"/>
      <c r="L30" s="580"/>
      <c r="M30" s="580"/>
    </row>
    <row r="31" spans="1:13" x14ac:dyDescent="0.25">
      <c r="A31" s="287" t="s">
        <v>1787</v>
      </c>
      <c r="B31" s="580"/>
      <c r="C31" s="580"/>
      <c r="D31" s="580"/>
      <c r="E31" s="580"/>
      <c r="F31" s="580"/>
      <c r="G31" s="580"/>
      <c r="H31" s="580"/>
      <c r="I31" s="580"/>
      <c r="J31" s="580"/>
      <c r="K31" s="580"/>
      <c r="L31" s="580"/>
      <c r="M31" s="580"/>
    </row>
    <row r="32" spans="1:13" x14ac:dyDescent="0.25">
      <c r="A32" s="287" t="s">
        <v>122</v>
      </c>
      <c r="B32" s="580"/>
      <c r="C32" s="580"/>
      <c r="D32" s="580"/>
      <c r="E32" s="580"/>
      <c r="F32" s="580"/>
      <c r="G32" s="580"/>
      <c r="H32" s="580"/>
      <c r="I32" s="580"/>
      <c r="J32" s="580"/>
      <c r="K32" s="580"/>
      <c r="L32" s="580"/>
      <c r="M32" s="580"/>
    </row>
    <row r="33" spans="1:18" x14ac:dyDescent="0.25">
      <c r="A33" s="287" t="s">
        <v>673</v>
      </c>
      <c r="B33" s="580"/>
      <c r="C33" s="580"/>
      <c r="D33" s="580"/>
      <c r="E33" s="580"/>
      <c r="F33" s="580"/>
      <c r="G33" s="580"/>
      <c r="H33" s="580"/>
      <c r="I33" s="580"/>
      <c r="J33" s="580"/>
      <c r="K33" s="580"/>
      <c r="L33" s="580"/>
      <c r="M33" s="580"/>
    </row>
    <row r="34" spans="1:18" x14ac:dyDescent="0.25">
      <c r="A34" s="287" t="s">
        <v>674</v>
      </c>
      <c r="B34" s="580"/>
      <c r="C34" s="580"/>
      <c r="D34" s="580"/>
      <c r="E34" s="580"/>
      <c r="F34" s="580"/>
      <c r="G34" s="580"/>
      <c r="H34" s="580"/>
      <c r="I34" s="580"/>
      <c r="J34" s="580"/>
      <c r="K34" s="580"/>
      <c r="L34" s="580"/>
      <c r="M34" s="580"/>
    </row>
    <row r="35" spans="1:18" x14ac:dyDescent="0.25">
      <c r="A35" s="2092" t="s">
        <v>1217</v>
      </c>
      <c r="B35" s="2093"/>
      <c r="C35" s="2093"/>
      <c r="D35" s="2120"/>
      <c r="E35" s="2121"/>
      <c r="F35" s="2122"/>
      <c r="G35" s="401"/>
      <c r="H35" s="399"/>
      <c r="I35" s="399"/>
      <c r="J35" s="2122"/>
      <c r="K35" s="401"/>
      <c r="L35" s="399"/>
      <c r="M35" s="2122"/>
    </row>
    <row r="36" spans="1:18" x14ac:dyDescent="0.25">
      <c r="A36" s="582" t="s">
        <v>906</v>
      </c>
      <c r="B36" s="583" t="s">
        <v>433</v>
      </c>
      <c r="C36" s="583"/>
      <c r="D36" s="2024"/>
      <c r="E36" s="2123">
        <f t="shared" ref="E36:E42" si="3">IF(ISERROR((E44/D44)-1),0,((E44/D44)-1))</f>
        <v>0.20299654322425398</v>
      </c>
      <c r="F36" s="567">
        <f>IF(ISERROR((F44/E44)-1),0,((F44/E44)-1))</f>
        <v>0.15113076500064659</v>
      </c>
      <c r="G36" s="2125">
        <f>IF(ISERROR((G44/F44)-1),0,((G44/F44)-1))</f>
        <v>0.14539750269825014</v>
      </c>
      <c r="H36" s="2123">
        <f>IF(ISERROR((H44/G44)-1),0,((H44/G44)-1))</f>
        <v>1.6607352907536121E-2</v>
      </c>
      <c r="I36" s="2123">
        <f>IF(ISERROR((I44/H44)-1),0,((I44/H44)-1))</f>
        <v>0</v>
      </c>
      <c r="J36" s="2126">
        <f>IF(ISERROR((J44/I44)-1),0,((J44/I44)-1))</f>
        <v>0</v>
      </c>
      <c r="K36" s="571">
        <f>IF(ISERROR((K44/H44)-1),0,((K44/H44)-1))</f>
        <v>8.0703563868084638E-2</v>
      </c>
      <c r="L36" s="623">
        <f>IF(ISERROR((L44/K44)-1),0,((L44/K44)-1))</f>
        <v>8.5992841066645287E-2</v>
      </c>
      <c r="M36" s="567">
        <f>IF(ISERROR((M44/L44)-1),0,((M44/L44)-1))</f>
        <v>8.6532294382309916E-2</v>
      </c>
      <c r="Q36" s="310"/>
      <c r="R36" s="310"/>
    </row>
    <row r="37" spans="1:18" x14ac:dyDescent="0.25">
      <c r="A37" s="582" t="s">
        <v>907</v>
      </c>
      <c r="B37" s="583" t="s">
        <v>433</v>
      </c>
      <c r="C37" s="583"/>
      <c r="D37" s="2024"/>
      <c r="E37" s="2123">
        <f t="shared" si="3"/>
        <v>7.7899159359080095E-2</v>
      </c>
      <c r="F37" s="567">
        <f t="shared" ref="F37:M42" si="4">IF(ISERROR((F45/E45)-1),0,((F45/E45)-1))</f>
        <v>0.13050430857591766</v>
      </c>
      <c r="G37" s="2125">
        <f t="shared" si="4"/>
        <v>0.13728203294098384</v>
      </c>
      <c r="H37" s="2123">
        <f t="shared" si="4"/>
        <v>2.2432792876767138E-2</v>
      </c>
      <c r="I37" s="2123">
        <f t="shared" si="4"/>
        <v>0</v>
      </c>
      <c r="J37" s="2126">
        <f t="shared" si="4"/>
        <v>0</v>
      </c>
      <c r="K37" s="571">
        <f t="shared" ref="K37:K42" si="5">IF(ISERROR((K45/H45)-1),0,((K45/H45)-1))</f>
        <v>3.4563119510321316E-2</v>
      </c>
      <c r="L37" s="623">
        <f t="shared" si="4"/>
        <v>5.413091554895022E-2</v>
      </c>
      <c r="M37" s="567">
        <f t="shared" si="4"/>
        <v>5.4714677883436202E-2</v>
      </c>
      <c r="Q37" s="310"/>
      <c r="R37" s="310"/>
    </row>
    <row r="38" spans="1:18" x14ac:dyDescent="0.25">
      <c r="A38" s="582" t="str">
        <f>"% incr "&amp;'A4-FinPerf RE'!A7</f>
        <v>% incr Service charges - electricity revenue</v>
      </c>
      <c r="B38" s="583" t="s">
        <v>433</v>
      </c>
      <c r="C38" s="583"/>
      <c r="D38" s="2024"/>
      <c r="E38" s="2123">
        <f t="shared" si="3"/>
        <v>0.23927050701573283</v>
      </c>
      <c r="F38" s="567">
        <f t="shared" si="4"/>
        <v>0.19892179843411295</v>
      </c>
      <c r="G38" s="2125">
        <f t="shared" si="4"/>
        <v>0.1684367551955448</v>
      </c>
      <c r="H38" s="2123">
        <f t="shared" si="4"/>
        <v>1.3995953335865785E-4</v>
      </c>
      <c r="I38" s="2123">
        <f t="shared" si="4"/>
        <v>0</v>
      </c>
      <c r="J38" s="2126">
        <f t="shared" si="4"/>
        <v>0</v>
      </c>
      <c r="K38" s="571">
        <f t="shared" si="5"/>
        <v>0.10000000070565895</v>
      </c>
      <c r="L38" s="623">
        <f t="shared" si="4"/>
        <v>9.9999999871698275E-2</v>
      </c>
      <c r="M38" s="567">
        <f>IF(ISERROR((M46/L46)-1),0,((M46/L46)-1))</f>
        <v>0.10000000040823243</v>
      </c>
      <c r="Q38" s="310"/>
      <c r="R38" s="310"/>
    </row>
    <row r="39" spans="1:18" x14ac:dyDescent="0.25">
      <c r="A39" s="582" t="str">
        <f>"% incr "&amp;'A4-FinPerf RE'!A8</f>
        <v>% incr Service charges - water revenue</v>
      </c>
      <c r="B39" s="583" t="s">
        <v>433</v>
      </c>
      <c r="C39" s="583"/>
      <c r="D39" s="2024"/>
      <c r="E39" s="2123">
        <f t="shared" si="3"/>
        <v>0.26434827638305514</v>
      </c>
      <c r="F39" s="567">
        <f t="shared" si="4"/>
        <v>6.7522753737076169E-2</v>
      </c>
      <c r="G39" s="2125">
        <f t="shared" si="4"/>
        <v>0.1006027862828387</v>
      </c>
      <c r="H39" s="2123">
        <f t="shared" si="4"/>
        <v>6.992706584732078E-2</v>
      </c>
      <c r="I39" s="2123">
        <f t="shared" si="4"/>
        <v>0</v>
      </c>
      <c r="J39" s="2126">
        <f t="shared" si="4"/>
        <v>0</v>
      </c>
      <c r="K39" s="571">
        <f t="shared" si="5"/>
        <v>9.9999998232930709E-2</v>
      </c>
      <c r="L39" s="623">
        <f t="shared" si="4"/>
        <v>9.9999999464524425E-2</v>
      </c>
      <c r="M39" s="567">
        <f t="shared" si="4"/>
        <v>0.1000000021905818</v>
      </c>
      <c r="Q39" s="310"/>
      <c r="R39" s="310"/>
    </row>
    <row r="40" spans="1:18" x14ac:dyDescent="0.25">
      <c r="A40" s="582" t="str">
        <f>"% incr "&amp;'A4-FinPerf RE'!A9</f>
        <v>% incr Service charges - sanitation revenue</v>
      </c>
      <c r="B40" s="583" t="s">
        <v>433</v>
      </c>
      <c r="C40" s="583"/>
      <c r="D40" s="2024"/>
      <c r="E40" s="2123">
        <f t="shared" si="3"/>
        <v>0.34623147220716421</v>
      </c>
      <c r="F40" s="567">
        <f t="shared" si="4"/>
        <v>4.7902966490133592E-2</v>
      </c>
      <c r="G40" s="2125">
        <f t="shared" si="4"/>
        <v>6.0397744031704725E-2</v>
      </c>
      <c r="H40" s="2123">
        <f t="shared" si="4"/>
        <v>9.8800991228070068E-2</v>
      </c>
      <c r="I40" s="2123">
        <f t="shared" si="4"/>
        <v>0</v>
      </c>
      <c r="J40" s="2126">
        <f t="shared" si="4"/>
        <v>0</v>
      </c>
      <c r="K40" s="571">
        <f t="shared" si="5"/>
        <v>5.4999990300432122E-2</v>
      </c>
      <c r="L40" s="623">
        <f t="shared" si="4"/>
        <v>5.5000002497109568E-2</v>
      </c>
      <c r="M40" s="567">
        <f t="shared" si="4"/>
        <v>5.5000000788976156E-2</v>
      </c>
      <c r="Q40" s="310"/>
      <c r="R40" s="310"/>
    </row>
    <row r="41" spans="1:18" x14ac:dyDescent="0.25">
      <c r="A41" s="582" t="str">
        <f>"% incr "&amp;'A4-FinPerf RE'!A10</f>
        <v>% incr Service charges - refuse revenue</v>
      </c>
      <c r="B41" s="583" t="s">
        <v>433</v>
      </c>
      <c r="C41" s="583"/>
      <c r="D41" s="2024"/>
      <c r="E41" s="2123">
        <f t="shared" si="3"/>
        <v>0.23028544209062818</v>
      </c>
      <c r="F41" s="567">
        <f t="shared" si="4"/>
        <v>6.9134839502524859E-2</v>
      </c>
      <c r="G41" s="2125">
        <f t="shared" si="4"/>
        <v>0.12356892352608795</v>
      </c>
      <c r="H41" s="2123">
        <f t="shared" si="4"/>
        <v>-6.609662800285887E-2</v>
      </c>
      <c r="I41" s="2123">
        <f t="shared" si="4"/>
        <v>0</v>
      </c>
      <c r="J41" s="2126">
        <f t="shared" si="4"/>
        <v>0</v>
      </c>
      <c r="K41" s="571">
        <f t="shared" si="5"/>
        <v>5.4999998844275533E-2</v>
      </c>
      <c r="L41" s="623">
        <f t="shared" si="4"/>
        <v>5.5000005219608239E-2</v>
      </c>
      <c r="M41" s="567">
        <f t="shared" si="4"/>
        <v>5.499999383090004E-2</v>
      </c>
      <c r="Q41" s="310"/>
      <c r="R41" s="310"/>
    </row>
    <row r="42" spans="1:18" x14ac:dyDescent="0.25">
      <c r="A42" s="582" t="str">
        <f>"% incr in "&amp;'A4-FinPerf RE'!A11</f>
        <v>% incr in Service charges - other</v>
      </c>
      <c r="B42" s="583" t="s">
        <v>433</v>
      </c>
      <c r="C42" s="583"/>
      <c r="D42" s="2024"/>
      <c r="E42" s="2123">
        <f t="shared" si="3"/>
        <v>0</v>
      </c>
      <c r="F42" s="567">
        <f t="shared" si="4"/>
        <v>0</v>
      </c>
      <c r="G42" s="2125">
        <f t="shared" si="4"/>
        <v>0</v>
      </c>
      <c r="H42" s="2123">
        <f t="shared" si="4"/>
        <v>0</v>
      </c>
      <c r="I42" s="2123">
        <f>IF(ISERROR((I50/H50)-1),0,((I50/H50)-1))</f>
        <v>0</v>
      </c>
      <c r="J42" s="2126">
        <f t="shared" si="4"/>
        <v>0</v>
      </c>
      <c r="K42" s="571">
        <f t="shared" si="5"/>
        <v>0</v>
      </c>
      <c r="L42" s="623">
        <f>IF(ISERROR((L50/K50)-1),0,((L50/K50)-1))</f>
        <v>0</v>
      </c>
      <c r="M42" s="567">
        <f t="shared" si="4"/>
        <v>0</v>
      </c>
      <c r="Q42" s="310"/>
      <c r="R42" s="310"/>
    </row>
    <row r="43" spans="1:18" x14ac:dyDescent="0.25">
      <c r="A43" s="582" t="s">
        <v>777</v>
      </c>
      <c r="B43" s="583" t="s">
        <v>433</v>
      </c>
      <c r="C43" s="583"/>
      <c r="D43" s="1272">
        <f>SUM(D45:D51)</f>
        <v>1615187099</v>
      </c>
      <c r="E43" s="192">
        <f t="shared" ref="E43:M43" si="6">SUM(E45:E51)</f>
        <v>1941644799</v>
      </c>
      <c r="F43" s="1273">
        <f t="shared" si="6"/>
        <v>2233101827</v>
      </c>
      <c r="G43" s="1272">
        <f t="shared" si="6"/>
        <v>2556770267.1157331</v>
      </c>
      <c r="H43" s="192">
        <f t="shared" si="6"/>
        <v>2603322766</v>
      </c>
      <c r="I43" s="192">
        <f t="shared" si="6"/>
        <v>2603322766</v>
      </c>
      <c r="J43" s="1273">
        <f>SUM(J45:J51)</f>
        <v>2603321766</v>
      </c>
      <c r="K43" s="1272">
        <f>SUM(K45:K51)</f>
        <v>2813880972</v>
      </c>
      <c r="L43" s="192">
        <f t="shared" si="6"/>
        <v>3056223196</v>
      </c>
      <c r="M43" s="1273">
        <f t="shared" si="6"/>
        <v>3321076117</v>
      </c>
    </row>
    <row r="44" spans="1:18" x14ac:dyDescent="0.25">
      <c r="A44" s="582" t="s">
        <v>1602</v>
      </c>
      <c r="B44" s="583"/>
      <c r="C44" s="583"/>
      <c r="D44" s="1272">
        <f>SUM(D45:D50)</f>
        <v>1599615771</v>
      </c>
      <c r="E44" s="192">
        <f t="shared" ref="E44:M44" si="7">SUM(E45:E50)</f>
        <v>1924332243</v>
      </c>
      <c r="F44" s="1273">
        <f t="shared" si="7"/>
        <v>2215158047</v>
      </c>
      <c r="G44" s="1272">
        <f t="shared" si="7"/>
        <v>2537236495.1157331</v>
      </c>
      <c r="H44" s="192">
        <f t="shared" si="7"/>
        <v>2579373277</v>
      </c>
      <c r="I44" s="192">
        <f t="shared" si="7"/>
        <v>2579373277</v>
      </c>
      <c r="J44" s="1273">
        <f>SUM(J45:J50)</f>
        <v>2579373277</v>
      </c>
      <c r="K44" s="1272">
        <f t="shared" si="7"/>
        <v>2787537893</v>
      </c>
      <c r="L44" s="192">
        <f t="shared" si="7"/>
        <v>3027246196</v>
      </c>
      <c r="M44" s="1273">
        <f t="shared" si="7"/>
        <v>3289200755</v>
      </c>
    </row>
    <row r="45" spans="1:18" x14ac:dyDescent="0.25">
      <c r="A45" s="582" t="s">
        <v>540</v>
      </c>
      <c r="B45" s="583"/>
      <c r="C45" s="583"/>
      <c r="D45" s="1272">
        <f>'A4-FinPerf RE'!C5+'A4-FinPerf RE'!C6</f>
        <v>440315111</v>
      </c>
      <c r="E45" s="192">
        <f>'A4-FinPerf RE'!D5+'A4-FinPerf RE'!D6</f>
        <v>474615288</v>
      </c>
      <c r="F45" s="1273">
        <f>'A4-FinPerf RE'!E5+'A4-FinPerf RE'!E6</f>
        <v>536554628</v>
      </c>
      <c r="G45" s="1272">
        <f>'A4-FinPerf RE'!F5+'A4-FinPerf RE'!F6</f>
        <v>610213938.11573339</v>
      </c>
      <c r="H45" s="192">
        <f>'A4-FinPerf RE'!G5+'A4-FinPerf RE'!G6</f>
        <v>623902741</v>
      </c>
      <c r="I45" s="192">
        <f>'A4-FinPerf RE'!H5+'A4-FinPerf RE'!H6</f>
        <v>623902741</v>
      </c>
      <c r="J45" s="1273">
        <f>'A4-FinPerf RE'!I5+'A4-FinPerf RE'!I6</f>
        <v>623902741</v>
      </c>
      <c r="K45" s="1272">
        <f>'A4-FinPerf RE'!J5+'A4-FinPerf RE'!J6</f>
        <v>645466766</v>
      </c>
      <c r="L45" s="192">
        <f>'A4-FinPerf RE'!K5+'A4-FinPerf RE'!K6</f>
        <v>680406473</v>
      </c>
      <c r="M45" s="1273">
        <f>'A4-FinPerf RE'!L5+'A4-FinPerf RE'!L6</f>
        <v>717634694</v>
      </c>
    </row>
    <row r="46" spans="1:18" x14ac:dyDescent="0.25">
      <c r="A46" s="582" t="s">
        <v>1793</v>
      </c>
      <c r="B46" s="583"/>
      <c r="C46" s="583"/>
      <c r="D46" s="1272">
        <f>'A4-FinPerf RE'!C7</f>
        <v>816172839</v>
      </c>
      <c r="E46" s="192">
        <f>'A4-FinPerf RE'!D7</f>
        <v>1011458928</v>
      </c>
      <c r="F46" s="1273">
        <f>'A4-FinPerf RE'!E7</f>
        <v>1212660157</v>
      </c>
      <c r="G46" s="1272">
        <f>'A4-FinPerf RE'!F7</f>
        <v>1416916699</v>
      </c>
      <c r="H46" s="192">
        <f>'A4-FinPerf RE'!G7</f>
        <v>1417115010</v>
      </c>
      <c r="I46" s="192">
        <f>'A4-FinPerf RE'!H7</f>
        <v>1417115010</v>
      </c>
      <c r="J46" s="1273">
        <f>'A4-FinPerf RE'!I7</f>
        <v>1417115010</v>
      </c>
      <c r="K46" s="1272">
        <f>'A4-FinPerf RE'!J7</f>
        <v>1558826512</v>
      </c>
      <c r="L46" s="192">
        <f>'A4-FinPerf RE'!K7</f>
        <v>1714709163</v>
      </c>
      <c r="M46" s="1273">
        <f>'A4-FinPerf RE'!L7</f>
        <v>1886180080</v>
      </c>
    </row>
    <row r="47" spans="1:18" x14ac:dyDescent="0.25">
      <c r="A47" s="582" t="s">
        <v>1794</v>
      </c>
      <c r="B47" s="583"/>
      <c r="C47" s="583"/>
      <c r="D47" s="1272">
        <f>'A4-FinPerf RE'!C8</f>
        <v>213633343</v>
      </c>
      <c r="E47" s="192">
        <f>'A4-FinPerf RE'!D8</f>
        <v>270106949</v>
      </c>
      <c r="F47" s="1273">
        <f>'A4-FinPerf RE'!E8</f>
        <v>288345314</v>
      </c>
      <c r="G47" s="1272">
        <f>'A4-FinPerf RE'!F8</f>
        <v>317353656</v>
      </c>
      <c r="H47" s="192">
        <f>'A4-FinPerf RE'!G8</f>
        <v>339545266</v>
      </c>
      <c r="I47" s="192">
        <f>'A4-FinPerf RE'!H8</f>
        <v>339545266</v>
      </c>
      <c r="J47" s="1273">
        <f>'A4-FinPerf RE'!I8</f>
        <v>339545266</v>
      </c>
      <c r="K47" s="1272">
        <f>'A4-FinPerf RE'!J8</f>
        <v>373499792</v>
      </c>
      <c r="L47" s="192">
        <f>'A4-FinPerf RE'!K8</f>
        <v>410849771</v>
      </c>
      <c r="M47" s="1273">
        <f>'A4-FinPerf RE'!L8</f>
        <v>451934749</v>
      </c>
    </row>
    <row r="48" spans="1:18" x14ac:dyDescent="0.25">
      <c r="A48" s="582" t="s">
        <v>931</v>
      </c>
      <c r="B48" s="583"/>
      <c r="C48" s="583"/>
      <c r="D48" s="1272">
        <f>'A4-FinPerf RE'!C9</f>
        <v>76207067</v>
      </c>
      <c r="E48" s="192">
        <f>'A4-FinPerf RE'!D9</f>
        <v>102592352</v>
      </c>
      <c r="F48" s="1273">
        <f>'A4-FinPerf RE'!E9</f>
        <v>107506830</v>
      </c>
      <c r="G48" s="1272">
        <f>'A4-FinPerf RE'!F9</f>
        <v>114000000</v>
      </c>
      <c r="H48" s="192">
        <f>'A4-FinPerf RE'!G9</f>
        <v>125263313</v>
      </c>
      <c r="I48" s="192">
        <f>'A4-FinPerf RE'!H9</f>
        <v>125263313</v>
      </c>
      <c r="J48" s="1273">
        <f>'A4-FinPerf RE'!I9</f>
        <v>125263313</v>
      </c>
      <c r="K48" s="1272">
        <f>'A4-FinPerf RE'!J9</f>
        <v>132152794</v>
      </c>
      <c r="L48" s="192">
        <f>'A4-FinPerf RE'!K9</f>
        <v>139421198</v>
      </c>
      <c r="M48" s="1273">
        <f>'A4-FinPerf RE'!L9</f>
        <v>147089364</v>
      </c>
    </row>
    <row r="49" spans="1:13" x14ac:dyDescent="0.25">
      <c r="A49" s="582" t="s">
        <v>932</v>
      </c>
      <c r="B49" s="583"/>
      <c r="C49" s="583"/>
      <c r="D49" s="1272">
        <f>'A4-FinPerf RE'!C10</f>
        <v>53287411</v>
      </c>
      <c r="E49" s="192">
        <f>'A4-FinPerf RE'!D10</f>
        <v>65558726</v>
      </c>
      <c r="F49" s="1273">
        <f>'A4-FinPerf RE'!E10</f>
        <v>70091118</v>
      </c>
      <c r="G49" s="1272">
        <f>'A4-FinPerf RE'!F10</f>
        <v>78752202</v>
      </c>
      <c r="H49" s="192">
        <f>'A4-FinPerf RE'!G10</f>
        <v>73546947</v>
      </c>
      <c r="I49" s="192">
        <f>'A4-FinPerf RE'!H10</f>
        <v>73546947</v>
      </c>
      <c r="J49" s="1273">
        <f>'A4-FinPerf RE'!I10</f>
        <v>73546947</v>
      </c>
      <c r="K49" s="1272">
        <f>'A4-FinPerf RE'!J10</f>
        <v>77592029</v>
      </c>
      <c r="L49" s="192">
        <f>'A4-FinPerf RE'!K10</f>
        <v>81859591</v>
      </c>
      <c r="M49" s="1273">
        <f>'A4-FinPerf RE'!L10</f>
        <v>86361868</v>
      </c>
    </row>
    <row r="50" spans="1:13" x14ac:dyDescent="0.25">
      <c r="A50" s="582" t="s">
        <v>933</v>
      </c>
      <c r="B50" s="583"/>
      <c r="C50" s="583"/>
      <c r="D50" s="1272">
        <f>'A4-FinPerf RE'!C11</f>
        <v>0</v>
      </c>
      <c r="E50" s="192">
        <f>'A4-FinPerf RE'!D11</f>
        <v>0</v>
      </c>
      <c r="F50" s="1273">
        <f>'A4-FinPerf RE'!E11</f>
        <v>0</v>
      </c>
      <c r="G50" s="1272">
        <f>'A4-FinPerf RE'!F11</f>
        <v>0</v>
      </c>
      <c r="H50" s="192">
        <f>'A4-FinPerf RE'!G11</f>
        <v>0</v>
      </c>
      <c r="I50" s="192">
        <f>'A4-FinPerf RE'!H11</f>
        <v>0</v>
      </c>
      <c r="J50" s="1273">
        <f>'A4-FinPerf RE'!I11</f>
        <v>0</v>
      </c>
      <c r="K50" s="1272">
        <f>'A4-FinPerf RE'!J11</f>
        <v>0</v>
      </c>
      <c r="L50" s="192">
        <f>'A4-FinPerf RE'!K11</f>
        <v>0</v>
      </c>
      <c r="M50" s="1273">
        <f>'A4-FinPerf RE'!L11</f>
        <v>0</v>
      </c>
    </row>
    <row r="51" spans="1:13" x14ac:dyDescent="0.25">
      <c r="A51" s="582" t="str">
        <f>'A4-FinPerf RE'!A12</f>
        <v>Rental of facilities and equipment</v>
      </c>
      <c r="B51" s="583"/>
      <c r="C51" s="583"/>
      <c r="D51" s="1272">
        <f>'A4-FinPerf RE'!C12</f>
        <v>15571328</v>
      </c>
      <c r="E51" s="192">
        <f>'A4-FinPerf RE'!D12</f>
        <v>17312556</v>
      </c>
      <c r="F51" s="1273">
        <f>'A4-FinPerf RE'!E12</f>
        <v>17943780</v>
      </c>
      <c r="G51" s="1272">
        <f>'A4-FinPerf RE'!F12</f>
        <v>19533772</v>
      </c>
      <c r="H51" s="192">
        <f>'A4-FinPerf RE'!G12</f>
        <v>23949489</v>
      </c>
      <c r="I51" s="192">
        <f>'A4-FinPerf RE'!H12</f>
        <v>23949489</v>
      </c>
      <c r="J51" s="1273">
        <f>'A4-FinPerf RE'!I12</f>
        <v>23948489</v>
      </c>
      <c r="K51" s="1272">
        <f>'A4-FinPerf RE'!J12</f>
        <v>26343079</v>
      </c>
      <c r="L51" s="192">
        <f>'A4-FinPerf RE'!K12</f>
        <v>28977000</v>
      </c>
      <c r="M51" s="1273">
        <f>'A4-FinPerf RE'!L12</f>
        <v>31875362</v>
      </c>
    </row>
    <row r="52" spans="1:13" x14ac:dyDescent="0.25">
      <c r="A52" s="582" t="s">
        <v>979</v>
      </c>
      <c r="B52" s="583"/>
      <c r="C52" s="583"/>
      <c r="D52" s="1272">
        <f>'A5-Capex'!C40-'A5-Capex'!C70</f>
        <v>97626257</v>
      </c>
      <c r="E52" s="192">
        <f>'A5-Capex'!D40-'A5-Capex'!D70</f>
        <v>26494640.790000007</v>
      </c>
      <c r="F52" s="1273">
        <f>'A5-Capex'!E40-'A5-Capex'!E70</f>
        <v>74889457.099999964</v>
      </c>
      <c r="G52" s="1272">
        <f>'A5-Capex'!F40-'A5-Capex'!F70</f>
        <v>0</v>
      </c>
      <c r="H52" s="192">
        <f>'A5-Capex'!G40-'A5-Capex'!G70</f>
        <v>93037016</v>
      </c>
      <c r="I52" s="192">
        <f>'A5-Capex'!H40-'A5-Capex'!H70</f>
        <v>93037016</v>
      </c>
      <c r="J52" s="1273">
        <f>'A5-Capex'!I40-'A5-Capex'!I70</f>
        <v>93037016</v>
      </c>
      <c r="K52" s="1272">
        <f>'A5-Capex'!J40-'A5-Capex'!J70</f>
        <v>60000103</v>
      </c>
      <c r="L52" s="192">
        <f>'A5-Capex'!K40-'A5-Capex'!K70</f>
        <v>60000000</v>
      </c>
      <c r="M52" s="1273">
        <f>'A5-Capex'!L40-'A5-Capex'!L70</f>
        <v>50000000</v>
      </c>
    </row>
    <row r="53" spans="1:13" x14ac:dyDescent="0.25">
      <c r="A53" s="582" t="s">
        <v>978</v>
      </c>
      <c r="B53" s="583" t="s">
        <v>433</v>
      </c>
      <c r="C53" s="583"/>
      <c r="D53" s="206">
        <f>'A7-CFlow'!C6</f>
        <v>1969438279</v>
      </c>
      <c r="E53" s="203">
        <f>'A7-CFlow'!D6</f>
        <v>2356072593</v>
      </c>
      <c r="F53" s="808">
        <f>'A7-CFlow'!E6</f>
        <v>2737653733</v>
      </c>
      <c r="G53" s="206">
        <f>'A7-CFlow'!F6</f>
        <v>2360144000</v>
      </c>
      <c r="H53" s="203">
        <f>'A7-CFlow'!G6</f>
        <v>3001215380</v>
      </c>
      <c r="I53" s="203">
        <f>'A7-CFlow'!H6</f>
        <v>3001215380</v>
      </c>
      <c r="J53" s="808">
        <f>'A7-CFlow'!I6</f>
        <v>3001215380</v>
      </c>
      <c r="K53" s="206">
        <f>'A7-CFlow'!J6</f>
        <v>3068460000</v>
      </c>
      <c r="L53" s="203">
        <f>'A7-CFlow'!K6</f>
        <v>2941311000</v>
      </c>
      <c r="M53" s="1273">
        <f>'A7-CFlow'!L6</f>
        <v>3124741000</v>
      </c>
    </row>
    <row r="54" spans="1:13" x14ac:dyDescent="0.25">
      <c r="A54" s="587" t="s">
        <v>1788</v>
      </c>
      <c r="B54" s="583" t="s">
        <v>433</v>
      </c>
      <c r="C54" s="583"/>
      <c r="D54" s="206">
        <f>SUM('A4-FinPerf RE'!C5:C12)+'A4-FinPerf RE'!C14+SUM('A4-FinPerf RE'!C16:C18)+'A4-FinPerf RE'!C20</f>
        <v>2213934087</v>
      </c>
      <c r="E54" s="203">
        <f>SUM('A4-FinPerf RE'!D5:D12)+'A4-FinPerf RE'!D14+SUM('A4-FinPerf RE'!D16:D18)+'A4-FinPerf RE'!D20</f>
        <v>2502688933</v>
      </c>
      <c r="F54" s="808">
        <f>SUM('A4-FinPerf RE'!E5:E12)+'A4-FinPerf RE'!E14+SUM('A4-FinPerf RE'!E16:E18)+'A4-FinPerf RE'!E20</f>
        <v>2360988331</v>
      </c>
      <c r="G54" s="206">
        <f>SUM('A4-FinPerf RE'!F5:F12)+'A4-FinPerf RE'!F14+SUM('A4-FinPerf RE'!F16:F18)+'A4-FinPerf RE'!F20</f>
        <v>2610486079.2277331</v>
      </c>
      <c r="H54" s="203">
        <f>SUM('A4-FinPerf RE'!G5:G12)+'A4-FinPerf RE'!G14+SUM('A4-FinPerf RE'!G16:G18)+'A4-FinPerf RE'!G20</f>
        <v>2697306968</v>
      </c>
      <c r="I54" s="203">
        <f>SUM('A4-FinPerf RE'!H5:H12)+'A4-FinPerf RE'!H14+SUM('A4-FinPerf RE'!H16:H18)+'A4-FinPerf RE'!H20</f>
        <v>2697306968</v>
      </c>
      <c r="J54" s="808">
        <f>SUM('A4-FinPerf RE'!I5:I12)+'A4-FinPerf RE'!I14+SUM('A4-FinPerf RE'!I16:I18)+'A4-FinPerf RE'!I20</f>
        <v>2697305968</v>
      </c>
      <c r="K54" s="206">
        <f>SUM('A4-FinPerf RE'!J5:J12)+'A4-FinPerf RE'!J14+SUM('A4-FinPerf RE'!J16:J18)+'A4-FinPerf RE'!J20</f>
        <v>2869414551</v>
      </c>
      <c r="L54" s="203">
        <f>SUM('A4-FinPerf RE'!K5:K12)+'A4-FinPerf RE'!K14+SUM('A4-FinPerf RE'!K16:K18)+'A4-FinPerf RE'!K20</f>
        <v>3113312010</v>
      </c>
      <c r="M54" s="808">
        <f>SUM('A4-FinPerf RE'!L5:L12)+'A4-FinPerf RE'!L14+SUM('A4-FinPerf RE'!L16:L18)+'A4-FinPerf RE'!L20</f>
        <v>3378026567.9948339</v>
      </c>
    </row>
    <row r="55" spans="1:13" x14ac:dyDescent="0.25">
      <c r="A55" s="587" t="s">
        <v>668</v>
      </c>
      <c r="B55" s="583"/>
      <c r="C55" s="583"/>
      <c r="D55" s="206">
        <f>D84</f>
        <v>61310919.183333352</v>
      </c>
      <c r="E55" s="203">
        <f>(SUM('A6-FinPos'!D8:D10)+'A6-FinPos'!D15)-(SUM('A6-FinPos'!C8:C10)+'A6-FinPos'!C15)</f>
        <v>-6888211</v>
      </c>
      <c r="F55" s="808">
        <f>(SUM('A6-FinPos'!E8:E10)+'A6-FinPos'!E15)-(SUM('A6-FinPos'!D8:D10)+'A6-FinPos'!D15)</f>
        <v>319378054</v>
      </c>
      <c r="G55" s="206">
        <f>(SUM('A6-FinPos'!F8:F10)+'A6-FinPos'!F15)-(SUM('A6-FinPos'!E8:E10)+'A6-FinPos'!E15)</f>
        <v>236449537.89999998</v>
      </c>
      <c r="H55" s="203">
        <f>(SUM('A6-FinPos'!G8:G10)+'A6-FinPos'!G15)-(SUM('A6-FinPos'!E8:E10)+'A6-FinPos'!E15)</f>
        <v>236449537.89999998</v>
      </c>
      <c r="I55" s="203">
        <f>(SUM('A6-FinPos'!H8:H10)+'A6-FinPos'!H15)-(SUM('A6-FinPos'!E8:E10)+'A6-FinPos'!E15)</f>
        <v>236449537.89999998</v>
      </c>
      <c r="J55" s="808">
        <f>(SUM('A6-FinPos'!I8:I10)+'A6-FinPos'!I15)-(SUM('A6-FinPos'!E8:E10)+'A6-FinPos'!E15)</f>
        <v>236449537.89999998</v>
      </c>
      <c r="K55" s="206">
        <f>(SUM('A6-FinPos'!J8:J10)+'A6-FinPos'!J15)-(SUM('A6-FinPos'!F8:F10)+'A6-FinPos'!F15)</f>
        <v>266324706.07599998</v>
      </c>
      <c r="L55" s="203">
        <f>(SUM('A6-FinPos'!K8:K10)+'A6-FinPos'!K15)-(SUM('A6-FinPos'!J8:J10)+'A6-FinPos'!J15)</f>
        <v>-68969039.720886111</v>
      </c>
      <c r="M55" s="808">
        <f>(SUM('A6-FinPos'!L8:L10)+'A6-FinPos'!L15)-(SUM('A6-FinPos'!K8:K10)+'A6-FinPos'!K15)</f>
        <v>-150929204.25511384</v>
      </c>
    </row>
    <row r="56" spans="1:13" x14ac:dyDescent="0.25">
      <c r="A56" s="587" t="s">
        <v>1216</v>
      </c>
      <c r="B56" s="583" t="s">
        <v>433</v>
      </c>
      <c r="C56" s="583"/>
      <c r="D56" s="206">
        <f>'A4-FinPerf RE'!C19+'A4-FinPerf RE'!C39</f>
        <v>355033160</v>
      </c>
      <c r="E56" s="203">
        <f>'A4-FinPerf RE'!D19+'A4-FinPerf RE'!D39</f>
        <v>385496359</v>
      </c>
      <c r="F56" s="808">
        <f>'A4-FinPerf RE'!E19+'A4-FinPerf RE'!E39</f>
        <v>500668971</v>
      </c>
      <c r="G56" s="206">
        <f>'A4-FinPerf RE'!F19+'A4-FinPerf RE'!F39</f>
        <v>365204000</v>
      </c>
      <c r="H56" s="203">
        <f>'A4-FinPerf RE'!G19+'A4-FinPerf RE'!G39</f>
        <v>422369000</v>
      </c>
      <c r="I56" s="203">
        <f>'A4-FinPerf RE'!H19+'A4-FinPerf RE'!H39</f>
        <v>422369000</v>
      </c>
      <c r="J56" s="808">
        <f>'A4-FinPerf RE'!I19+'A4-FinPerf RE'!I39</f>
        <v>422368549</v>
      </c>
      <c r="K56" s="206">
        <f>'A4-FinPerf RE'!J19+'A4-FinPerf RE'!J39</f>
        <v>652058595</v>
      </c>
      <c r="L56" s="203">
        <f>'A4-FinPerf RE'!K19+'A4-FinPerf RE'!K39</f>
        <v>589871000</v>
      </c>
      <c r="M56" s="808">
        <f>'A4-FinPerf RE'!L19+'A4-FinPerf RE'!L39</f>
        <v>655040000</v>
      </c>
    </row>
    <row r="57" spans="1:13" x14ac:dyDescent="0.25">
      <c r="A57" s="587" t="s">
        <v>1218</v>
      </c>
      <c r="B57" s="588" t="str">
        <f>B17</f>
        <v>20(1)(vi)</v>
      </c>
      <c r="C57" s="583"/>
      <c r="D57" s="206">
        <f>'A5-Capex'!C40</f>
        <v>176033492</v>
      </c>
      <c r="E57" s="203">
        <f>'A5-Capex'!D40</f>
        <v>111148753.28</v>
      </c>
      <c r="F57" s="808">
        <f>'A5-Capex'!E40</f>
        <v>223563286.09999996</v>
      </c>
      <c r="G57" s="206">
        <f>'A5-Capex'!F40</f>
        <v>230014000</v>
      </c>
      <c r="H57" s="203">
        <f>'A5-Capex'!G40</f>
        <v>309755750</v>
      </c>
      <c r="I57" s="203">
        <f>'A5-Capex'!H40</f>
        <v>309755750</v>
      </c>
      <c r="J57" s="808">
        <f>'A5-Capex'!I40</f>
        <v>309755750</v>
      </c>
      <c r="K57" s="206">
        <f>'A5-Capex'!J40</f>
        <v>475658508</v>
      </c>
      <c r="L57" s="203">
        <f>'A5-Capex'!K40</f>
        <v>254271000</v>
      </c>
      <c r="M57" s="808">
        <f>'A5-Capex'!L40</f>
        <v>242390000</v>
      </c>
    </row>
    <row r="58" spans="1:13" x14ac:dyDescent="0.25">
      <c r="A58" s="587" t="s">
        <v>1219</v>
      </c>
      <c r="B58" s="588" t="str">
        <f>B18</f>
        <v>20(1)(vi)</v>
      </c>
      <c r="C58" s="583"/>
      <c r="D58" s="206">
        <f>'A9-Asset'!C20</f>
        <v>95810000</v>
      </c>
      <c r="E58" s="203">
        <f>'A9-Asset'!D20</f>
        <v>88821854.060000002</v>
      </c>
      <c r="F58" s="808">
        <f>'A9-Asset'!E20</f>
        <v>0</v>
      </c>
      <c r="G58" s="206">
        <f>'A9-Asset'!F20</f>
        <v>119911590</v>
      </c>
      <c r="H58" s="203">
        <f>'A9-Asset'!G20</f>
        <v>174102674</v>
      </c>
      <c r="I58" s="203">
        <f>'A9-Asset'!H20</f>
        <v>174102674</v>
      </c>
      <c r="J58" s="203"/>
      <c r="K58" s="206">
        <f>'A9-Asset'!I20</f>
        <v>287608405</v>
      </c>
      <c r="L58" s="203">
        <f>'A9-Asset'!J20</f>
        <v>187929000</v>
      </c>
      <c r="M58" s="808">
        <f>'A9-Asset'!K20</f>
        <v>190400000</v>
      </c>
    </row>
    <row r="59" spans="1:13" ht="6" customHeight="1" x14ac:dyDescent="0.25">
      <c r="A59" s="587"/>
      <c r="B59" s="583"/>
      <c r="C59" s="583"/>
      <c r="D59" s="2026"/>
      <c r="E59" s="293"/>
      <c r="F59" s="2124"/>
      <c r="G59" s="404"/>
      <c r="H59" s="403"/>
      <c r="I59" s="403"/>
      <c r="J59" s="2124"/>
      <c r="K59" s="404"/>
      <c r="L59" s="403"/>
      <c r="M59" s="2124"/>
    </row>
    <row r="60" spans="1:13" x14ac:dyDescent="0.25">
      <c r="A60" s="581" t="s">
        <v>9</v>
      </c>
      <c r="B60" s="583"/>
      <c r="C60" s="583"/>
      <c r="D60" s="2026"/>
      <c r="E60" s="293"/>
      <c r="F60" s="2124"/>
      <c r="G60" s="404"/>
      <c r="H60" s="403"/>
      <c r="I60" s="403"/>
      <c r="J60" s="2124"/>
      <c r="K60" s="404"/>
      <c r="L60" s="403"/>
      <c r="M60" s="2124"/>
    </row>
    <row r="61" spans="1:13" x14ac:dyDescent="0.25">
      <c r="A61" s="587" t="s">
        <v>465</v>
      </c>
      <c r="B61" s="583"/>
      <c r="C61" s="583"/>
      <c r="D61" s="2125">
        <v>0.06</v>
      </c>
      <c r="E61" s="2123">
        <v>0.06</v>
      </c>
      <c r="F61" s="2126">
        <v>0.06</v>
      </c>
      <c r="G61" s="2125">
        <v>0.06</v>
      </c>
      <c r="H61" s="2123">
        <v>0.06</v>
      </c>
      <c r="I61" s="2123">
        <v>0.06</v>
      </c>
      <c r="J61" s="2126">
        <v>0.06</v>
      </c>
      <c r="K61" s="2125">
        <v>0.06</v>
      </c>
      <c r="L61" s="2123">
        <v>0.06</v>
      </c>
      <c r="M61" s="2126">
        <v>0.06</v>
      </c>
    </row>
    <row r="62" spans="1:13" x14ac:dyDescent="0.25">
      <c r="A62" s="587" t="s">
        <v>2079</v>
      </c>
      <c r="B62" s="583"/>
      <c r="C62" s="583"/>
      <c r="D62" s="2125">
        <v>4.2999999999999997E-2</v>
      </c>
      <c r="E62" s="2123">
        <v>3.9E-2</v>
      </c>
      <c r="F62" s="2126">
        <v>4.5999999999999999E-2</v>
      </c>
      <c r="G62" s="2125">
        <v>0.05</v>
      </c>
      <c r="H62" s="2123">
        <v>0.05</v>
      </c>
      <c r="I62" s="2123">
        <v>0.05</v>
      </c>
      <c r="J62" s="2126">
        <v>0.05</v>
      </c>
      <c r="K62" s="2125">
        <v>5.3999999999999999E-2</v>
      </c>
      <c r="L62" s="2123">
        <v>5.6000000000000001E-2</v>
      </c>
      <c r="M62" s="2126">
        <v>5.3999999999999999E-2</v>
      </c>
    </row>
    <row r="63" spans="1:13" x14ac:dyDescent="0.25">
      <c r="A63" s="587" t="s">
        <v>1491</v>
      </c>
      <c r="B63" s="583"/>
      <c r="C63" s="583"/>
      <c r="D63" s="2127"/>
      <c r="E63" s="2128"/>
      <c r="F63" s="2129"/>
      <c r="G63" s="2130"/>
      <c r="H63" s="2131"/>
      <c r="I63" s="2131"/>
      <c r="J63" s="2129"/>
      <c r="K63" s="1616"/>
      <c r="L63" s="1614"/>
      <c r="M63" s="1617"/>
    </row>
    <row r="64" spans="1:13" x14ac:dyDescent="0.25">
      <c r="A64" s="587" t="s">
        <v>1492</v>
      </c>
      <c r="B64" s="583"/>
      <c r="C64" s="583"/>
      <c r="D64" s="2127"/>
      <c r="E64" s="2128"/>
      <c r="F64" s="2129"/>
      <c r="G64" s="2130"/>
      <c r="H64" s="2131"/>
      <c r="I64" s="2131"/>
      <c r="J64" s="2129"/>
      <c r="K64" s="1616"/>
      <c r="L64" s="1614"/>
      <c r="M64" s="1617"/>
    </row>
    <row r="65" spans="1:13" x14ac:dyDescent="0.25">
      <c r="A65" s="587" t="s">
        <v>1493</v>
      </c>
      <c r="B65" s="583"/>
      <c r="C65" s="583"/>
      <c r="D65" s="2127"/>
      <c r="E65" s="2128"/>
      <c r="F65" s="2129"/>
      <c r="G65" s="2130"/>
      <c r="H65" s="2131"/>
      <c r="I65" s="2131"/>
      <c r="J65" s="2129"/>
      <c r="K65" s="1616"/>
      <c r="L65" s="1614"/>
      <c r="M65" s="1617"/>
    </row>
    <row r="66" spans="1:13" x14ac:dyDescent="0.25">
      <c r="A66" s="587" t="s">
        <v>1494</v>
      </c>
      <c r="B66" s="583"/>
      <c r="C66" s="583"/>
      <c r="D66" s="2127"/>
      <c r="E66" s="2128"/>
      <c r="F66" s="2129"/>
      <c r="G66" s="2130"/>
      <c r="H66" s="2131"/>
      <c r="I66" s="2131"/>
      <c r="J66" s="2129"/>
      <c r="K66" s="1616"/>
      <c r="L66" s="1614"/>
      <c r="M66" s="1617"/>
    </row>
    <row r="67" spans="1:13" x14ac:dyDescent="0.25">
      <c r="A67" s="587" t="s">
        <v>1215</v>
      </c>
      <c r="B67" s="583"/>
      <c r="C67" s="583"/>
      <c r="D67" s="2127"/>
      <c r="E67" s="2128"/>
      <c r="F67" s="2129"/>
      <c r="G67" s="2130"/>
      <c r="H67" s="2131"/>
      <c r="I67" s="2131"/>
      <c r="J67" s="2129"/>
      <c r="K67" s="1616"/>
      <c r="L67" s="1614"/>
      <c r="M67" s="1617"/>
    </row>
    <row r="68" spans="1:13" x14ac:dyDescent="0.25">
      <c r="A68" s="587" t="s">
        <v>1214</v>
      </c>
      <c r="B68" s="583"/>
      <c r="C68" s="583"/>
      <c r="D68" s="2130"/>
      <c r="E68" s="2131"/>
      <c r="F68" s="2129"/>
      <c r="G68" s="2130"/>
      <c r="H68" s="2131"/>
      <c r="I68" s="2131"/>
      <c r="J68" s="2129"/>
      <c r="K68" s="211">
        <f>SUM(K63:K67)</f>
        <v>0</v>
      </c>
      <c r="L68" s="207">
        <f>SUM(L63:L67)</f>
        <v>0</v>
      </c>
      <c r="M68" s="559">
        <f>SUM(M63:M67)</f>
        <v>0</v>
      </c>
    </row>
    <row r="69" spans="1:13" x14ac:dyDescent="0.25">
      <c r="A69" s="587" t="s">
        <v>10</v>
      </c>
      <c r="B69" s="583"/>
      <c r="C69" s="583"/>
      <c r="D69" s="2024"/>
      <c r="E69" s="2009"/>
      <c r="F69" s="2126"/>
      <c r="G69" s="2125"/>
      <c r="H69" s="2123"/>
      <c r="I69" s="2123"/>
      <c r="J69" s="2126"/>
      <c r="K69" s="2125"/>
      <c r="L69" s="2123"/>
      <c r="M69" s="2126"/>
    </row>
    <row r="70" spans="1:13" ht="11" thickBot="1" x14ac:dyDescent="0.3">
      <c r="A70" s="589"/>
      <c r="B70" s="590"/>
      <c r="C70" s="590"/>
      <c r="D70" s="2132"/>
      <c r="E70" s="2133"/>
      <c r="F70" s="2134"/>
      <c r="G70" s="2135"/>
      <c r="H70" s="2136"/>
      <c r="I70" s="2136"/>
      <c r="J70" s="2134"/>
      <c r="K70" s="2135"/>
      <c r="L70" s="2136"/>
      <c r="M70" s="2134"/>
    </row>
    <row r="71" spans="1:13" x14ac:dyDescent="0.25">
      <c r="A71" s="591" t="s">
        <v>1255</v>
      </c>
      <c r="J71" s="1572"/>
      <c r="K71" s="2137"/>
      <c r="L71" s="2138"/>
      <c r="M71" s="2139"/>
    </row>
    <row r="72" spans="1:13" x14ac:dyDescent="0.25">
      <c r="A72" s="1823" t="s">
        <v>1593</v>
      </c>
      <c r="D72" s="2106"/>
      <c r="E72" s="2106"/>
      <c r="F72" s="2107"/>
      <c r="G72" s="2107"/>
      <c r="H72" s="2107"/>
      <c r="I72" s="2107"/>
      <c r="J72" s="2108"/>
      <c r="K72" s="1616"/>
      <c r="L72" s="1614"/>
      <c r="M72" s="1617"/>
    </row>
    <row r="73" spans="1:13" x14ac:dyDescent="0.25">
      <c r="A73" s="1654"/>
      <c r="D73" s="2106"/>
      <c r="E73" s="2106"/>
      <c r="F73" s="2107"/>
      <c r="G73" s="2107"/>
      <c r="H73" s="2107"/>
      <c r="I73" s="2107"/>
      <c r="J73" s="2108"/>
      <c r="K73" s="1616"/>
      <c r="L73" s="1614"/>
      <c r="M73" s="1617"/>
    </row>
    <row r="74" spans="1:13" x14ac:dyDescent="0.25">
      <c r="A74" s="1654"/>
      <c r="D74" s="2106"/>
      <c r="E74" s="2106"/>
      <c r="F74" s="2107"/>
      <c r="G74" s="2107"/>
      <c r="H74" s="2107"/>
      <c r="I74" s="2107"/>
      <c r="J74" s="2108"/>
      <c r="K74" s="1616"/>
      <c r="L74" s="1614"/>
      <c r="M74" s="1617"/>
    </row>
    <row r="75" spans="1:13" x14ac:dyDescent="0.25">
      <c r="A75" s="1654"/>
      <c r="D75" s="2106"/>
      <c r="E75" s="2106"/>
      <c r="F75" s="2107"/>
      <c r="G75" s="2107"/>
      <c r="H75" s="2107"/>
      <c r="I75" s="2107"/>
      <c r="J75" s="2108"/>
      <c r="K75" s="1616"/>
      <c r="L75" s="1614"/>
      <c r="M75" s="1617"/>
    </row>
    <row r="76" spans="1:13" ht="11" thickBot="1" x14ac:dyDescent="0.3">
      <c r="D76" s="2106"/>
      <c r="E76" s="2106"/>
      <c r="F76" s="2107"/>
      <c r="G76" s="2107"/>
      <c r="H76" s="2107"/>
      <c r="I76" s="2107"/>
      <c r="J76" s="2108"/>
      <c r="K76" s="2140">
        <f>SUM(K72:K75)</f>
        <v>0</v>
      </c>
      <c r="L76" s="2141">
        <f>SUM(L72:L75)</f>
        <v>0</v>
      </c>
      <c r="M76" s="2142">
        <f>SUM(M72:M75)</f>
        <v>0</v>
      </c>
    </row>
    <row r="77" spans="1:13" ht="11" thickTop="1" x14ac:dyDescent="0.25">
      <c r="A77" s="591" t="s">
        <v>283</v>
      </c>
      <c r="J77" s="1572"/>
      <c r="K77" s="206"/>
      <c r="L77" s="203"/>
      <c r="M77" s="808"/>
    </row>
    <row r="78" spans="1:13" x14ac:dyDescent="0.25">
      <c r="A78" s="1823" t="s">
        <v>1594</v>
      </c>
      <c r="D78" s="2106"/>
      <c r="E78" s="2106"/>
      <c r="F78" s="2107"/>
      <c r="G78" s="2107"/>
      <c r="H78" s="2107"/>
      <c r="I78" s="2107"/>
      <c r="J78" s="2108"/>
      <c r="K78" s="1616"/>
      <c r="L78" s="1614"/>
      <c r="M78" s="1617"/>
    </row>
    <row r="79" spans="1:13" x14ac:dyDescent="0.25">
      <c r="A79" s="1654"/>
      <c r="D79" s="2106"/>
      <c r="E79" s="2106"/>
      <c r="F79" s="2107"/>
      <c r="G79" s="2107"/>
      <c r="H79" s="2107"/>
      <c r="I79" s="2107"/>
      <c r="J79" s="2108"/>
      <c r="K79" s="1616"/>
      <c r="L79" s="1614"/>
      <c r="M79" s="1617"/>
    </row>
    <row r="80" spans="1:13" x14ac:dyDescent="0.25">
      <c r="A80" s="1654"/>
      <c r="D80" s="2106"/>
      <c r="E80" s="2106"/>
      <c r="F80" s="2107"/>
      <c r="G80" s="2107"/>
      <c r="H80" s="2107"/>
      <c r="I80" s="2107"/>
      <c r="J80" s="2108"/>
      <c r="K80" s="1616"/>
      <c r="L80" s="1614"/>
      <c r="M80" s="1617"/>
    </row>
    <row r="81" spans="1:14" x14ac:dyDescent="0.25">
      <c r="A81" s="1654"/>
      <c r="D81" s="2106"/>
      <c r="E81" s="2106"/>
      <c r="F81" s="2107"/>
      <c r="G81" s="2107"/>
      <c r="H81" s="2107"/>
      <c r="I81" s="2107"/>
      <c r="J81" s="2108"/>
      <c r="K81" s="1616"/>
      <c r="L81" s="1614"/>
      <c r="M81" s="1617"/>
    </row>
    <row r="82" spans="1:14" ht="11" thickBot="1" x14ac:dyDescent="0.3">
      <c r="A82" s="1585"/>
      <c r="B82" s="337"/>
      <c r="C82" s="337"/>
      <c r="D82" s="2109"/>
      <c r="E82" s="2109"/>
      <c r="F82" s="2110"/>
      <c r="G82" s="2110"/>
      <c r="H82" s="2110"/>
      <c r="I82" s="2110"/>
      <c r="J82" s="2111"/>
      <c r="K82" s="2140">
        <f>SUM(K78:K81)</f>
        <v>0</v>
      </c>
      <c r="L82" s="2141">
        <f>SUM(L78:L81)</f>
        <v>0</v>
      </c>
      <c r="M82" s="2142">
        <f>SUM(M78:M81)</f>
        <v>0</v>
      </c>
    </row>
    <row r="83" spans="1:14" ht="11" thickTop="1" x14ac:dyDescent="0.25">
      <c r="A83" s="591" t="s">
        <v>671</v>
      </c>
      <c r="M83" s="1596"/>
    </row>
    <row r="84" spans="1:14" x14ac:dyDescent="0.25">
      <c r="A84" s="149" t="str">
        <f>A55</f>
        <v>Change in consumer debtors (current and non-current)</v>
      </c>
      <c r="D84" s="592">
        <f>TREND(E84:G84)</f>
        <v>61310919.183333352</v>
      </c>
      <c r="E84" s="592">
        <f>E55</f>
        <v>-6888211</v>
      </c>
      <c r="F84" s="592">
        <f>F55</f>
        <v>319378054</v>
      </c>
      <c r="G84" s="362">
        <f>J55</f>
        <v>236449537.89999998</v>
      </c>
      <c r="H84" s="362">
        <f t="shared" ref="H84:M84" si="8">K55</f>
        <v>266324706.07599998</v>
      </c>
      <c r="I84" s="362">
        <f t="shared" si="8"/>
        <v>-68969039.720886111</v>
      </c>
      <c r="J84" s="362">
        <f t="shared" si="8"/>
        <v>-150929204.25511384</v>
      </c>
      <c r="K84" s="362">
        <f t="shared" si="8"/>
        <v>0</v>
      </c>
      <c r="L84" s="362">
        <f t="shared" si="8"/>
        <v>0</v>
      </c>
      <c r="M84" s="204">
        <f t="shared" si="8"/>
        <v>0</v>
      </c>
    </row>
    <row r="85" spans="1:14" ht="12" customHeight="1" x14ac:dyDescent="0.25">
      <c r="M85" s="1586"/>
    </row>
    <row r="86" spans="1:14" x14ac:dyDescent="0.25">
      <c r="A86" s="1583" t="s">
        <v>1854</v>
      </c>
      <c r="B86" s="1581"/>
      <c r="C86" s="1582"/>
      <c r="D86" s="2112">
        <f>'A1-Sum'!B10</f>
        <v>2575835750</v>
      </c>
      <c r="E86" s="2113">
        <f>'A1-Sum'!C10</f>
        <v>2901980506</v>
      </c>
      <c r="F86" s="2114">
        <f>'A1-Sum'!D10</f>
        <v>2887563942</v>
      </c>
      <c r="G86" s="2112">
        <f>'A1-Sum'!E10</f>
        <v>2987790079.2277331</v>
      </c>
      <c r="H86" s="2113">
        <f>'A1-Sum'!F10</f>
        <v>3138031602</v>
      </c>
      <c r="I86" s="2113">
        <f>'A1-Sum'!G10</f>
        <v>3138031602</v>
      </c>
      <c r="J86" s="2114">
        <f>'A1-Sum'!H10</f>
        <v>3138031151</v>
      </c>
      <c r="K86" s="2112">
        <f>'A1-Sum'!I10</f>
        <v>3540414280</v>
      </c>
      <c r="L86" s="2113">
        <f>'A1-Sum'!J10</f>
        <v>3722549259</v>
      </c>
      <c r="M86" s="2115">
        <f>'A1-Sum'!K10</f>
        <v>4053497960.6061091</v>
      </c>
      <c r="N86" s="246"/>
    </row>
    <row r="87" spans="1:14" x14ac:dyDescent="0.25">
      <c r="A87" s="1573" t="s">
        <v>1855</v>
      </c>
      <c r="B87" s="1580"/>
      <c r="C87" s="583"/>
      <c r="D87" s="2013">
        <f>'A1-Sum'!B18</f>
        <v>2807100182</v>
      </c>
      <c r="E87" s="324">
        <f>'A1-Sum'!C18</f>
        <v>2807201317</v>
      </c>
      <c r="F87" s="2016">
        <f>'A1-Sum'!D18</f>
        <v>2653096169.5500002</v>
      </c>
      <c r="G87" s="2013">
        <f>'A1-Sum'!E18</f>
        <v>2982646285.6926188</v>
      </c>
      <c r="H87" s="324">
        <f>'A1-Sum'!F18</f>
        <v>3129240568</v>
      </c>
      <c r="I87" s="324">
        <f>'A1-Sum'!G18</f>
        <v>3129239094</v>
      </c>
      <c r="J87" s="2016">
        <f>'A1-Sum'!H18</f>
        <v>3129239263</v>
      </c>
      <c r="K87" s="2013">
        <f>'A1-Sum'!I18</f>
        <v>3473828461</v>
      </c>
      <c r="L87" s="324">
        <f>'A1-Sum'!J18</f>
        <v>3657992355</v>
      </c>
      <c r="M87" s="1597">
        <f>'A1-Sum'!K18</f>
        <v>4003497194</v>
      </c>
      <c r="N87" s="246"/>
    </row>
    <row r="88" spans="1:14" x14ac:dyDescent="0.25">
      <c r="A88" s="1573" t="s">
        <v>1856</v>
      </c>
      <c r="B88" s="1580"/>
      <c r="C88" s="583"/>
      <c r="D88" s="2013">
        <f>D86-D87</f>
        <v>-231264432</v>
      </c>
      <c r="E88" s="324">
        <f t="shared" ref="E88:M88" si="9">E86-E87</f>
        <v>94779189</v>
      </c>
      <c r="F88" s="2016">
        <f t="shared" si="9"/>
        <v>234467772.44999981</v>
      </c>
      <c r="G88" s="2013">
        <f t="shared" si="9"/>
        <v>5143793.5351142883</v>
      </c>
      <c r="H88" s="324">
        <f t="shared" si="9"/>
        <v>8791034</v>
      </c>
      <c r="I88" s="324">
        <f t="shared" si="9"/>
        <v>8792508</v>
      </c>
      <c r="J88" s="2016">
        <f t="shared" si="9"/>
        <v>8791888</v>
      </c>
      <c r="K88" s="2013">
        <f>K86-K87</f>
        <v>66585819</v>
      </c>
      <c r="L88" s="324">
        <f t="shared" si="9"/>
        <v>64556904</v>
      </c>
      <c r="M88" s="1597">
        <f t="shared" si="9"/>
        <v>50000766.606109142</v>
      </c>
      <c r="N88" s="246"/>
    </row>
    <row r="89" spans="1:14" x14ac:dyDescent="0.25">
      <c r="A89" s="1573" t="s">
        <v>1937</v>
      </c>
      <c r="B89" s="1580"/>
      <c r="C89" s="583"/>
      <c r="D89" s="2116"/>
      <c r="E89" s="2117"/>
      <c r="F89" s="2118"/>
      <c r="G89" s="2119"/>
      <c r="H89" s="433"/>
      <c r="I89" s="433"/>
      <c r="J89" s="2118"/>
      <c r="K89" s="2116">
        <f>'A7-CFlow'!J38</f>
        <v>691164000</v>
      </c>
      <c r="L89" s="433"/>
      <c r="M89" s="2082"/>
      <c r="N89" s="246"/>
    </row>
    <row r="90" spans="1:14" x14ac:dyDescent="0.25">
      <c r="A90" s="1560" t="s">
        <v>1857</v>
      </c>
      <c r="B90" s="1584"/>
      <c r="C90" s="432"/>
      <c r="D90" s="291"/>
      <c r="E90" s="291"/>
      <c r="F90" s="554"/>
      <c r="G90" s="556"/>
      <c r="H90" s="1594"/>
      <c r="I90" s="1594"/>
      <c r="J90" s="554"/>
      <c r="K90" s="556"/>
      <c r="L90" s="1594"/>
      <c r="M90" s="555"/>
    </row>
    <row r="91" spans="1:14" x14ac:dyDescent="0.25">
      <c r="A91" s="201" t="s">
        <v>1858</v>
      </c>
      <c r="B91" s="1575"/>
      <c r="C91" s="236"/>
      <c r="D91" s="2009"/>
      <c r="E91" s="2009">
        <f>IF(ISERROR(('A1-Sum'!C10-'A1-Sum'!B10)/'A1-Sum'!B10),0,(('A1-Sum'!C10-'A1-Sum'!B10)/'A1-Sum'!B10))</f>
        <v>0.12661706244274309</v>
      </c>
      <c r="F91" s="2022">
        <f>IF(ISERROR(('A1-Sum'!D10-'A1-Sum'!C10)/'A1-Sum'!C10),0,(('A1-Sum'!D10-'A1-Sum'!C10)/'A1-Sum'!C10))</f>
        <v>-4.9678362656788988E-3</v>
      </c>
      <c r="G91" s="2024">
        <f>IF(ISERROR(('A1-Sum'!E10-'A1-Sum'!D10)/'A1-Sum'!D10),0,(('A1-Sum'!E10-'A1-Sum'!D10)/'A1-Sum'!D10))</f>
        <v>3.4709581931652037E-2</v>
      </c>
      <c r="H91" s="2009">
        <f>IF(ISERROR(('A1-Sum'!F10-'A1-Sum'!E10)/'A1-Sum'!E10),0,(('A1-Sum'!F10-'A1-Sum'!E10)/'A1-Sum'!E10))</f>
        <v>5.0285166892012852E-2</v>
      </c>
      <c r="I91" s="2009">
        <f>IF(ISERROR(('A1-Sum'!G10-'A1-Sum'!F10)/'A1-Sum'!F10),0,(('A1-Sum'!G10-'A1-Sum'!F10)/'A1-Sum'!F10))</f>
        <v>0</v>
      </c>
      <c r="J91" s="2022">
        <f>IF(ISERROR(('A1-Sum'!H10-'A1-Sum'!G10)/'A1-Sum'!G10),0,(('A1-Sum'!H10-'A1-Sum'!G10)/'A1-Sum'!G10))</f>
        <v>-1.4372066862314536E-7</v>
      </c>
      <c r="K91" s="2024">
        <f>IF(ISERROR(('A1-Sum'!I10-'A1-Sum'!F10)/'A1-Sum'!F10),0,(('A1-Sum'!I10-'A1-Sum'!F10)/'A1-Sum'!F10))</f>
        <v>0.12822773287035877</v>
      </c>
      <c r="L91" s="2009">
        <f>IF(ISERROR(('A1-Sum'!J10-'A1-Sum'!I10)/'A1-Sum'!I10),0,(('A1-Sum'!J10-'A1-Sum'!I10)/'A1-Sum'!I10))</f>
        <v>5.144453857529916E-2</v>
      </c>
      <c r="M91" s="2010">
        <f>IF(ISERROR(('A1-Sum'!K10-'A1-Sum'!J10)/'A1-Sum'!J10),0,(('A1-Sum'!K10-'A1-Sum'!J10)/'A1-Sum'!J10))</f>
        <v>8.890378033439722E-2</v>
      </c>
    </row>
    <row r="92" spans="1:14" x14ac:dyDescent="0.25">
      <c r="A92" s="201" t="s">
        <v>1859</v>
      </c>
      <c r="B92" s="1575"/>
      <c r="C92" s="236"/>
      <c r="D92" s="2009"/>
      <c r="E92" s="2009">
        <f>IF(ISERROR(('A4-FinPerf RE'!D5-'A4-FinPerf RE'!C5)/'A4-FinPerf RE'!C5),0,(('A4-FinPerf RE'!D5-'A4-FinPerf RE'!C5)/'A4-FinPerf RE'!C5))</f>
        <v>6.7201488418828101E-2</v>
      </c>
      <c r="F92" s="2022">
        <f>IF(ISERROR(('A4-FinPerf RE'!E5-'A4-FinPerf RE'!D5)/'A4-FinPerf RE'!D5),0,(('A4-FinPerf RE'!E5-'A4-FinPerf RE'!D5)/'A4-FinPerf RE'!D5))</f>
        <v>0.12727825064869677</v>
      </c>
      <c r="G92" s="2024">
        <f>IF(ISERROR(('A4-FinPerf RE'!F5-'A4-FinPerf RE'!E5)/'A4-FinPerf RE'!E5),0,(('A4-FinPerf RE'!F5-'A4-FinPerf RE'!E5)/'A4-FinPerf RE'!E5))</f>
        <v>0.14068887623940809</v>
      </c>
      <c r="H92" s="2009">
        <f>IF(ISERROR(('A4-FinPerf RE'!G5-'A4-FinPerf RE'!F5)/'A4-FinPerf RE'!F5),0,(('A4-FinPerf RE'!G5-'A4-FinPerf RE'!F5)/'A4-FinPerf RE'!F5))</f>
        <v>0</v>
      </c>
      <c r="I92" s="2009">
        <f>IF(ISERROR(('A4-FinPerf RE'!H5-'A4-FinPerf RE'!G5)/'A4-FinPerf RE'!G5),0,(('A4-FinPerf RE'!H5-'A4-FinPerf RE'!G5)/'A4-FinPerf RE'!G5))</f>
        <v>0</v>
      </c>
      <c r="J92" s="2022">
        <f>IF(ISERROR(('A4-FinPerf RE'!I5-'A4-FinPerf RE'!H5)/'A4-FinPerf RE'!H5),0,(('A4-FinPerf RE'!I5-'A4-FinPerf RE'!H5)/'A4-FinPerf RE'!H5))</f>
        <v>0</v>
      </c>
      <c r="K92" s="2024">
        <f>IF(ISERROR(('A4-FinPerf RE'!J5-'A4-FinPerf RE'!G5)/'A4-FinPerf RE'!G5),0,(('A4-FinPerf RE'!J5-'A4-FinPerf RE'!G5)/'A4-FinPerf RE'!G5))</f>
        <v>5.4999999878556909E-2</v>
      </c>
      <c r="L92" s="2009">
        <f>IF(ISERROR(('A4-FinPerf RE'!K5-'A4-FinPerf RE'!J5)/'A4-FinPerf RE'!J5),0,(('A4-FinPerf RE'!K5-'A4-FinPerf RE'!J5)/'A4-FinPerf RE'!J5))</f>
        <v>5.4999999786220694E-2</v>
      </c>
      <c r="M92" s="2010">
        <f>IF(ISERROR(('A4-FinPerf RE'!L5-'A4-FinPerf RE'!K5)/'A4-FinPerf RE'!K5),0,(('A4-FinPerf RE'!L5-'A4-FinPerf RE'!K5)/'A4-FinPerf RE'!K5))</f>
        <v>5.4999999976619106E-2</v>
      </c>
    </row>
    <row r="93" spans="1:14" x14ac:dyDescent="0.25">
      <c r="A93" s="201" t="s">
        <v>1860</v>
      </c>
      <c r="B93" s="1575"/>
      <c r="C93" s="236"/>
      <c r="D93" s="2009"/>
      <c r="E93" s="2009">
        <f>IF(ISERROR(('A4-FinPerf RE'!D7-'A4-FinPerf RE'!C7)/'A4-FinPerf RE'!C7),0,(('A4-FinPerf RE'!D7-'A4-FinPerf RE'!C7)/'A4-FinPerf RE'!C7))</f>
        <v>0.23927050701573274</v>
      </c>
      <c r="F93" s="2022">
        <f>IF(ISERROR(('A4-FinPerf RE'!E7-'A4-FinPerf RE'!D7)/'A4-FinPerf RE'!D7),0,(('A4-FinPerf RE'!E7-'A4-FinPerf RE'!D7)/'A4-FinPerf RE'!D7))</f>
        <v>0.19892179843411298</v>
      </c>
      <c r="G93" s="2024">
        <f>IF(ISERROR(('A4-FinPerf RE'!F7-'A4-FinPerf RE'!E7)/'A4-FinPerf RE'!E7),0,(('A4-FinPerf RE'!F7-'A4-FinPerf RE'!E7)/'A4-FinPerf RE'!E7))</f>
        <v>0.16843675519554485</v>
      </c>
      <c r="H93" s="2009">
        <f>IF(ISERROR(('A4-FinPerf RE'!G7-'A4-FinPerf RE'!F7)/'A4-FinPerf RE'!F7),0,(('A4-FinPerf RE'!G7-'A4-FinPerf RE'!F7)/'A4-FinPerf RE'!F7))</f>
        <v>1.3995953335856621E-4</v>
      </c>
      <c r="I93" s="2009">
        <f>IF(ISERROR(('A4-FinPerf RE'!H7-'A4-FinPerf RE'!G7)/'A4-FinPerf RE'!G7),0,(('A4-FinPerf RE'!H7-'A4-FinPerf RE'!G7)/'A4-FinPerf RE'!G7))</f>
        <v>0</v>
      </c>
      <c r="J93" s="2022">
        <f>IF(ISERROR(('A4-FinPerf RE'!I7-'A4-FinPerf RE'!H7)/'A4-FinPerf RE'!H7),0,(('A4-FinPerf RE'!I7-'A4-FinPerf RE'!H7)/'A4-FinPerf RE'!H7))</f>
        <v>0</v>
      </c>
      <c r="K93" s="2024">
        <f>IF(ISERROR(('A4-FinPerf RE'!J7-'A4-FinPerf RE'!G7)/'A4-FinPerf RE'!G7),0,(('A4-FinPerf RE'!J7-'A4-FinPerf RE'!G7)/'A4-FinPerf RE'!G7))</f>
        <v>0.10000000070565902</v>
      </c>
      <c r="L93" s="2009">
        <f>IF(ISERROR(('A4-FinPerf RE'!K7-'A4-FinPerf RE'!J7)/'A4-FinPerf RE'!J7),0,(('A4-FinPerf RE'!K7-'A4-FinPerf RE'!J7)/'A4-FinPerf RE'!J7))</f>
        <v>9.9999999871698358E-2</v>
      </c>
      <c r="M93" s="2010">
        <f>IF(ISERROR(('A4-FinPerf RE'!L7-'A4-FinPerf RE'!K7)/'A4-FinPerf RE'!K7),0,(('A4-FinPerf RE'!L7-'A4-FinPerf RE'!K7)/'A4-FinPerf RE'!K7))</f>
        <v>0.1000000004082325</v>
      </c>
    </row>
    <row r="94" spans="1:14" x14ac:dyDescent="0.25">
      <c r="A94" s="336" t="s">
        <v>1861</v>
      </c>
      <c r="B94" s="926"/>
      <c r="C94" s="337"/>
      <c r="D94" s="1592"/>
      <c r="E94" s="1592">
        <f>IF(ISERROR((('A1-Sum'!C5+'A1-Sum'!C6)-('A1-Sum'!B5+'A1-Sum'!B6))/('A1-Sum'!B5+'A1-Sum'!B6)),0,((('A1-Sum'!C5+'A1-Sum'!C6)-('A1-Sum'!B5+'A1-Sum'!B6))/('A1-Sum'!B5+'A1-Sum'!B6)))</f>
        <v>0.20299654322425406</v>
      </c>
      <c r="F94" s="2014">
        <f>IF(ISERROR((('A1-Sum'!D5+'A1-Sum'!D6)-('A1-Sum'!C5+'A1-Sum'!C6))/('A1-Sum'!C5+'A1-Sum'!C6)),0,((('A1-Sum'!D5+'A1-Sum'!D6)-('A1-Sum'!C5+'A1-Sum'!C6))/('A1-Sum'!C5+'A1-Sum'!C6)))</f>
        <v>0.15113076500064651</v>
      </c>
      <c r="G94" s="2019">
        <f>IF(ISERROR((('A1-Sum'!E5+'A1-Sum'!E6)-('A1-Sum'!D5+'A1-Sum'!D6))/('A1-Sum'!D5+'A1-Sum'!D6)),0,((('A1-Sum'!E5+'A1-Sum'!E6)-('A1-Sum'!D5+'A1-Sum'!D6))/('A1-Sum'!D5+'A1-Sum'!D6)))</f>
        <v>0.14539750269825019</v>
      </c>
      <c r="H94" s="1592">
        <f>IF(ISERROR((('A1-Sum'!F5+'A1-Sum'!F6)-('A1-Sum'!E5+'A1-Sum'!E6))/('A1-Sum'!E5+'A1-Sum'!E6)),0,((('A1-Sum'!F5+'A1-Sum'!F6)-('A1-Sum'!E5+'A1-Sum'!E6))/('A1-Sum'!E5+'A1-Sum'!E6)))</f>
        <v>1.6607352907536052E-2</v>
      </c>
      <c r="I94" s="1592">
        <f>IF(ISERROR((('A1-Sum'!G5+'A1-Sum'!G6)-('A1-Sum'!F5+'A1-Sum'!F6))/('A1-Sum'!F5+'A1-Sum'!F6)),0,((('A1-Sum'!G5+'A1-Sum'!G6)-('A1-Sum'!F5+'A1-Sum'!F6))/('A1-Sum'!F5+'A1-Sum'!F6)))</f>
        <v>0</v>
      </c>
      <c r="J94" s="2014">
        <f>IF(ISERROR((('A1-Sum'!H5+'A1-Sum'!H6)-('A1-Sum'!G5+'A1-Sum'!G6))/('A1-Sum'!G5+'A1-Sum'!G6)),0,((('A1-Sum'!H5+'A1-Sum'!H6)-('A1-Sum'!G5+'A1-Sum'!G6))/('A1-Sum'!G5+'A1-Sum'!G6)))</f>
        <v>0</v>
      </c>
      <c r="K94" s="2019">
        <f>IF(ISERROR((('A1-Sum'!I5+'A1-Sum'!I6)-('A1-Sum'!F5+'A1-Sum'!F6))/('A1-Sum'!F5+'A1-Sum'!F6)),0,((('A1-Sum'!I5+'A1-Sum'!I6)-('A1-Sum'!F5+'A1-Sum'!F6))/('A1-Sum'!F5+'A1-Sum'!F6)))</f>
        <v>8.0703563868084541E-2</v>
      </c>
      <c r="L94" s="1592">
        <f>IF(ISERROR((('A1-Sum'!J5+'A1-Sum'!J6)-('A1-Sum'!I5+'A1-Sum'!I6))/('A1-Sum'!I5+'A1-Sum'!I6)),0,((('A1-Sum'!J5+'A1-Sum'!J6)-('A1-Sum'!I5+'A1-Sum'!I6))/('A1-Sum'!I5+'A1-Sum'!I6)))</f>
        <v>8.599284106664519E-2</v>
      </c>
      <c r="M94" s="1599">
        <f>IF(ISERROR((('A1-Sum'!K5+'A1-Sum'!K6)-('A1-Sum'!J5+'A1-Sum'!J6))/('A1-Sum'!J5+'A1-Sum'!J6)),0,((('A1-Sum'!K5+'A1-Sum'!K6)-('A1-Sum'!J5+'A1-Sum'!J6))/('A1-Sum'!J5+'A1-Sum'!J6)))</f>
        <v>8.6532294382309957E-2</v>
      </c>
    </row>
    <row r="95" spans="1:14" x14ac:dyDescent="0.25">
      <c r="A95" s="1573" t="s">
        <v>1862</v>
      </c>
      <c r="B95" s="1575"/>
      <c r="D95" s="293"/>
      <c r="E95" s="293"/>
      <c r="F95" s="2015"/>
      <c r="G95" s="1434"/>
      <c r="H95" s="972"/>
      <c r="I95" s="972"/>
      <c r="J95" s="2015"/>
      <c r="K95" s="1434"/>
      <c r="L95" s="972"/>
      <c r="M95" s="1591"/>
    </row>
    <row r="96" spans="1:14" x14ac:dyDescent="0.25">
      <c r="A96" s="201" t="s">
        <v>1863</v>
      </c>
      <c r="B96" s="1575"/>
      <c r="D96" s="2009"/>
      <c r="E96" s="2009">
        <f>IF(ISERROR(('A1-Sum'!C18-'A1-Sum'!B18)/'A1-Sum'!B18),0,(('A1-Sum'!C18-'A1-Sum'!B18)/'A1-Sum'!B18))</f>
        <v>3.6028283083200627E-5</v>
      </c>
      <c r="F96" s="2022">
        <f>IF(ISERROR(('A1-Sum'!D18-'A1-Sum'!C18)/'A1-Sum'!C18),0,(('A1-Sum'!D18-'A1-Sum'!C18)/'A1-Sum'!C18))</f>
        <v>-5.4896364759008061E-2</v>
      </c>
      <c r="G96" s="2024">
        <f>IF(ISERROR(('A1-Sum'!E18-'A1-Sum'!D18)/'A1-Sum'!D18),0,(('A1-Sum'!E18-'A1-Sum'!D18)/'A1-Sum'!D18))</f>
        <v>0.12421340768756026</v>
      </c>
      <c r="H96" s="2009">
        <f>IF(ISERROR(('A1-Sum'!F18-'A1-Sum'!E18)/'A1-Sum'!E18),0,(('A1-Sum'!F18-'A1-Sum'!E18)/'A1-Sum'!E18))</f>
        <v>4.9149067058529734E-2</v>
      </c>
      <c r="I96" s="2009">
        <f>IF(ISERROR(('A1-Sum'!G18-'A1-Sum'!F18)/'A1-Sum'!F18),0,(('A1-Sum'!G18-'A1-Sum'!F18)/'A1-Sum'!F18))</f>
        <v>-4.7104080621774684E-7</v>
      </c>
      <c r="J96" s="2022">
        <f>IF(ISERROR(('A1-Sum'!H18-'A1-Sum'!G18)/'A1-Sum'!G18),0,(('A1-Sum'!H18-'A1-Sum'!G18)/'A1-Sum'!G18))</f>
        <v>5.4006739313732991E-8</v>
      </c>
      <c r="K96" s="2024">
        <f>IF(ISERROR(('A1-Sum'!I18-'A1-Sum'!F18)/'A1-Sum'!F18),0,(('A1-Sum'!I18-'A1-Sum'!F18)/'A1-Sum'!F18))</f>
        <v>0.11011869669714699</v>
      </c>
      <c r="L96" s="2009">
        <f>IF(ISERROR(('A1-Sum'!J18-'A1-Sum'!I18)/'A1-Sum'!I18),0,(('A1-Sum'!J18-'A1-Sum'!I18)/'A1-Sum'!I18))</f>
        <v>5.3014677053738378E-2</v>
      </c>
      <c r="M96" s="2010">
        <f>IF(ISERROR(('A1-Sum'!K18-'A1-Sum'!J18)/'A1-Sum'!J18),0,(('A1-Sum'!K18-'A1-Sum'!J18)/'A1-Sum'!J18))</f>
        <v>9.4452039662614326E-2</v>
      </c>
    </row>
    <row r="97" spans="1:13" x14ac:dyDescent="0.25">
      <c r="A97" s="201" t="s">
        <v>1864</v>
      </c>
      <c r="B97" s="1575"/>
      <c r="D97" s="2009"/>
      <c r="E97" s="2009">
        <f>IF(ISERROR(('A1-Sum'!C11-'A1-Sum'!B11)/'A1-Sum'!B11),0,(('A1-Sum'!C11-'A1-Sum'!B11)/'A1-Sum'!B11))</f>
        <v>1.1669466019872019E-2</v>
      </c>
      <c r="F97" s="2022">
        <f>IF(ISERROR(('A1-Sum'!D11-'A1-Sum'!C11)/'A1-Sum'!C11),0,(('A1-Sum'!D11-'A1-Sum'!C11)/'A1-Sum'!C11))</f>
        <v>4.6867269663430557E-2</v>
      </c>
      <c r="G97" s="2024">
        <f>IF(ISERROR(('A1-Sum'!E11-'A1-Sum'!D11)/'A1-Sum'!D11),0,(('A1-Sum'!E11-'A1-Sum'!D11)/'A1-Sum'!D11))</f>
        <v>7.0876230881359886E-2</v>
      </c>
      <c r="H97" s="2009">
        <f>IF(ISERROR(('A1-Sum'!F11-'A1-Sum'!E11)/'A1-Sum'!E11),0,(('A1-Sum'!F11-'A1-Sum'!E11)/'A1-Sum'!E11))</f>
        <v>2.5949381109951007E-2</v>
      </c>
      <c r="I97" s="2009">
        <f>IF(ISERROR(('A1-Sum'!G11-'A1-Sum'!F11)/'A1-Sum'!F11),0,(('A1-Sum'!G11-'A1-Sum'!F11)/'A1-Sum'!F11))</f>
        <v>0</v>
      </c>
      <c r="J97" s="2022">
        <f>IF(ISERROR(('A1-Sum'!H11-'A1-Sum'!G11)/'A1-Sum'!G11),0,(('A1-Sum'!H11-'A1-Sum'!G11)/'A1-Sum'!G11))</f>
        <v>0</v>
      </c>
      <c r="K97" s="2024">
        <f>IF(ISERROR(('A1-Sum'!I11-'A1-Sum'!F11)/'A1-Sum'!F11),0,(('A1-Sum'!I11-'A1-Sum'!F11)/'A1-Sum'!F11))</f>
        <v>5.286258621066553E-2</v>
      </c>
      <c r="L97" s="2009">
        <f>IF(ISERROR(('A1-Sum'!J11-'A1-Sum'!I11)/'A1-Sum'!I11),0,(('A1-Sum'!J11-'A1-Sum'!I11)/'A1-Sum'!I11))</f>
        <v>6.3076705495763483E-2</v>
      </c>
      <c r="M97" s="2010">
        <f>IF(ISERROR(('A1-Sum'!K11-'A1-Sum'!J11)/'A1-Sum'!J11),0,(('A1-Sum'!K11-'A1-Sum'!J11)/'A1-Sum'!J11))</f>
        <v>5.1672772125921862E-2</v>
      </c>
    </row>
    <row r="98" spans="1:13" x14ac:dyDescent="0.25">
      <c r="A98" s="201" t="s">
        <v>1865</v>
      </c>
      <c r="B98" s="1575"/>
      <c r="D98" s="2009"/>
      <c r="E98" s="2009">
        <f>IF(ISERROR(('SA1'!D82-'SA1'!C82)/'SA1'!C82),0,(('SA1'!D82-'SA1'!C82)/'SA1'!C82))</f>
        <v>0.28348935458866314</v>
      </c>
      <c r="F98" s="2022">
        <f>IF(ISERROR(('SA1'!E82-'SA1'!D82)/'SA1'!D82),0,(('SA1'!E82-'SA1'!D82)/'SA1'!D82))</f>
        <v>0.26063118882920355</v>
      </c>
      <c r="G98" s="2024">
        <f>IF(ISERROR(('SA1'!F82-'SA1'!E82)/'SA1'!E82),0,(('SA1'!F82-'SA1'!E82)/'SA1'!E82))</f>
        <v>0.16779350066947724</v>
      </c>
      <c r="H98" s="2009">
        <f>IF(ISERROR(('SA1'!G82-'SA1'!F82)/'SA1'!F82),0,(('SA1'!G82-'SA1'!F82)/'SA1'!F82))</f>
        <v>0.30998326475772897</v>
      </c>
      <c r="I98" s="2009">
        <f>IF(ISERROR(('SA1'!H82-'SA1'!G82)/'SA1'!G82),0,(('SA1'!H82-'SA1'!G82)/'SA1'!G82))</f>
        <v>0</v>
      </c>
      <c r="J98" s="2022">
        <f>IF(ISERROR(('SA1'!I82-'SA1'!H82)/'SA1'!H82),0,(('SA1'!I82-'SA1'!H82)/'SA1'!H82))</f>
        <v>0</v>
      </c>
      <c r="K98" s="2024">
        <f>IF(ISERROR(('SA1'!J82-'SA1'!G82)/'SA1'!G82),0,(('SA1'!J82-'SA1'!G82)/'SA1'!G82))</f>
        <v>-0.1746443301293619</v>
      </c>
      <c r="L98" s="2009">
        <f>IF(ISERROR(('SA1'!K82-'SA1'!J82)/'SA1'!J82),0,(('SA1'!K82-'SA1'!J82)/'SA1'!J82))</f>
        <v>8.7488651285499167E-2</v>
      </c>
      <c r="M98" s="2010">
        <f>IF(ISERROR(('SA1'!L82-'SA1'!K82)/'SA1'!K82),0,(('SA1'!L82-'SA1'!K82)/'SA1'!K82))</f>
        <v>9.0007672488951806E-2</v>
      </c>
    </row>
    <row r="99" spans="1:13" x14ac:dyDescent="0.25">
      <c r="A99" s="201" t="s">
        <v>1951</v>
      </c>
      <c r="B99" s="1575"/>
      <c r="D99" s="293"/>
      <c r="E99" s="293"/>
      <c r="F99" s="557">
        <f>IF(ISERROR('A1-Sum'!D11/('SA24'!D36+'SA24'!E36-'SA24'!C5)),0,('A1-Sum'!D11/('SA24'!D36+'SA24'!E36-'SA24'!C5)))</f>
        <v>211558.50428707525</v>
      </c>
      <c r="G99" s="2026">
        <f>IF(ISERROR('A1-Sum'!E11/('SA24'!F36-'SA24'!F5)),0,('A1-Sum'!E11/('SA24'!F36-'SA24'!F5)))</f>
        <v>249271.59822645626</v>
      </c>
      <c r="H99" s="972"/>
      <c r="I99" s="972"/>
      <c r="J99" s="2015"/>
      <c r="K99" s="2026">
        <f>IF(ISERROR('A1-Sum'!I11/('SA24'!I36-'SA24'!I5)),0,('A1-Sum'!I11/('SA24'!I36-'SA24'!I5)))</f>
        <v>269259.12194269744</v>
      </c>
      <c r="L99" s="972"/>
      <c r="M99" s="1591"/>
    </row>
    <row r="100" spans="1:13" x14ac:dyDescent="0.25">
      <c r="A100" s="201" t="s">
        <v>1866</v>
      </c>
      <c r="B100" s="1575"/>
      <c r="D100" s="293"/>
      <c r="E100" s="293"/>
      <c r="F100" s="557">
        <f>IF(ISERROR('A1-Sum'!D12/'SA24'!C5),0,('A1-Sum'!D12/'SA24'!C5))</f>
        <v>430503.50684931508</v>
      </c>
      <c r="G100" s="2026">
        <f>IF(ISERROR('A1-Sum'!E12/'SA24'!F5),0,('A1-Sum'!E12/'SA24'!F5))</f>
        <v>465758.20547945204</v>
      </c>
      <c r="H100" s="972"/>
      <c r="I100" s="972"/>
      <c r="J100" s="2015"/>
      <c r="K100" s="2026">
        <f>IF(ISERROR('A1-Sum'!I12/'SA24'!I5),0,('A1-Sum'!I12/'SA24'!I5))</f>
        <v>498890.42465753423</v>
      </c>
      <c r="L100" s="972"/>
      <c r="M100" s="1591"/>
    </row>
    <row r="101" spans="1:13" x14ac:dyDescent="0.25">
      <c r="A101" s="201" t="s">
        <v>1867</v>
      </c>
      <c r="B101" s="1576"/>
      <c r="D101" s="2009">
        <f>'A9-Asset'!C84</f>
        <v>1.9E-2</v>
      </c>
      <c r="E101" s="2009">
        <f>'A9-Asset'!D84</f>
        <v>0.01</v>
      </c>
      <c r="F101" s="2022">
        <f>'A9-Asset'!E84</f>
        <v>6.0000000000000001E-3</v>
      </c>
      <c r="G101" s="2024">
        <f>'A9-Asset'!F84</f>
        <v>1.2999999999999999E-2</v>
      </c>
      <c r="H101" s="2009">
        <f>'A9-Asset'!G84</f>
        <v>1.2999999999999999E-2</v>
      </c>
      <c r="I101" s="2009">
        <f>'A9-Asset'!H84</f>
        <v>1.2999999999999999E-2</v>
      </c>
      <c r="J101" s="2022"/>
      <c r="K101" s="2024">
        <f>'A9-Asset'!I84</f>
        <v>1.4999999999999999E-2</v>
      </c>
      <c r="L101" s="2009">
        <f>'A9-Asset'!J84</f>
        <v>1.4999999999999999E-2</v>
      </c>
      <c r="M101" s="2010">
        <f>'A9-Asset'!K84</f>
        <v>0.02</v>
      </c>
    </row>
    <row r="102" spans="1:13" x14ac:dyDescent="0.25">
      <c r="A102" s="201" t="s">
        <v>1868</v>
      </c>
      <c r="B102" s="1576"/>
      <c r="D102" s="2009">
        <f>'A9-Asset'!C85</f>
        <v>0.03</v>
      </c>
      <c r="E102" s="2009">
        <f>'A9-Asset'!D85</f>
        <v>0.02</v>
      </c>
      <c r="F102" s="2022">
        <f>'A9-Asset'!E85</f>
        <v>0.01</v>
      </c>
      <c r="G102" s="2024">
        <f>'A9-Asset'!F85</f>
        <v>0.03</v>
      </c>
      <c r="H102" s="2009">
        <f>'A9-Asset'!G85</f>
        <v>0.04</v>
      </c>
      <c r="I102" s="2009">
        <f>'A9-Asset'!H85</f>
        <v>0.04</v>
      </c>
      <c r="J102" s="2022"/>
      <c r="K102" s="2024">
        <f>'A9-Asset'!I85</f>
        <v>0.06</v>
      </c>
      <c r="L102" s="2009">
        <f>'A9-Asset'!J85</f>
        <v>0.04</v>
      </c>
      <c r="M102" s="2010">
        <f>'A9-Asset'!K85</f>
        <v>0.05</v>
      </c>
    </row>
    <row r="103" spans="1:13" x14ac:dyDescent="0.25">
      <c r="A103" s="336" t="s">
        <v>1963</v>
      </c>
      <c r="B103" s="1587"/>
      <c r="C103" s="337"/>
      <c r="D103" s="1592">
        <f>'SA10'!D11</f>
        <v>0.1551149127894316</v>
      </c>
      <c r="E103" s="1592">
        <f>'SA10'!E11</f>
        <v>4.9443210750721868E-2</v>
      </c>
      <c r="F103" s="2014">
        <f>'SA10'!F11</f>
        <v>2.6066657729710414E-2</v>
      </c>
      <c r="G103" s="2019">
        <f>'SA10'!G11</f>
        <v>9.791353815390258E-2</v>
      </c>
      <c r="H103" s="1592">
        <f>'SA10'!H11</f>
        <v>9.6162652695059636E-2</v>
      </c>
      <c r="I103" s="1592">
        <f>'SA10'!I11</f>
        <v>9.6162652695059636E-2</v>
      </c>
      <c r="J103" s="1592">
        <f>'SA10'!J11</f>
        <v>9.6162689633502649E-2</v>
      </c>
      <c r="K103" s="2019">
        <f>'SA10'!K11</f>
        <v>4.8868358814148166E-2</v>
      </c>
      <c r="L103" s="1592">
        <f>'SA10'!L11</f>
        <v>5.0425393080486262E-2</v>
      </c>
      <c r="M103" s="1599">
        <f>'SA10'!M11</f>
        <v>4.7766859117730966E-2</v>
      </c>
    </row>
    <row r="104" spans="1:13" x14ac:dyDescent="0.25">
      <c r="A104" s="1573" t="s">
        <v>1869</v>
      </c>
      <c r="B104" s="1575"/>
      <c r="D104" s="293"/>
      <c r="E104" s="293"/>
      <c r="F104" s="2015"/>
      <c r="G104" s="1434"/>
      <c r="H104" s="972"/>
      <c r="I104" s="972"/>
      <c r="J104" s="2015"/>
      <c r="K104" s="1434"/>
      <c r="L104" s="972"/>
      <c r="M104" s="1591"/>
    </row>
    <row r="105" spans="1:13" x14ac:dyDescent="0.25">
      <c r="A105" s="201" t="s">
        <v>1870</v>
      </c>
      <c r="B105" s="586"/>
      <c r="D105" s="2013">
        <f>'A1-Sum'!B29+'A1-Sum'!B31</f>
        <v>0</v>
      </c>
      <c r="E105" s="324">
        <f>'A1-Sum'!C29+'A1-Sum'!C31</f>
        <v>0</v>
      </c>
      <c r="F105" s="2016">
        <f>'A1-Sum'!D29+'A1-Sum'!D31</f>
        <v>74889457.099999994</v>
      </c>
      <c r="G105" s="2013">
        <f>'A1-Sum'!E29+'A1-Sum'!E31</f>
        <v>0</v>
      </c>
      <c r="H105" s="324">
        <f>'A1-Sum'!F29+'A1-Sum'!F31</f>
        <v>45961797</v>
      </c>
      <c r="I105" s="324">
        <f>'A1-Sum'!G29+'A1-Sum'!G31</f>
        <v>45961797</v>
      </c>
      <c r="J105" s="2016">
        <f>'A1-Sum'!H29+'A1-Sum'!H31</f>
        <v>45961797</v>
      </c>
      <c r="K105" s="2013">
        <f>'A1-Sum'!I29+'A1-Sum'!I31</f>
        <v>60000103</v>
      </c>
      <c r="L105" s="324">
        <f>'A1-Sum'!J29+'A1-Sum'!J31</f>
        <v>60000000</v>
      </c>
      <c r="M105" s="1597">
        <f>'A1-Sum'!K29+'A1-Sum'!K31</f>
        <v>50000000</v>
      </c>
    </row>
    <row r="106" spans="1:13" x14ac:dyDescent="0.25">
      <c r="A106" s="201" t="s">
        <v>1871</v>
      </c>
      <c r="B106" s="586"/>
      <c r="D106" s="2013">
        <f>'A1-Sum'!B30</f>
        <v>97626257</v>
      </c>
      <c r="E106" s="324">
        <f>'A1-Sum'!C30</f>
        <v>26494640.800000001</v>
      </c>
      <c r="F106" s="2016">
        <f>'A1-Sum'!D30</f>
        <v>0</v>
      </c>
      <c r="G106" s="2013">
        <f>'A1-Sum'!E30</f>
        <v>0</v>
      </c>
      <c r="H106" s="324">
        <f>'A1-Sum'!F30</f>
        <v>47075219</v>
      </c>
      <c r="I106" s="324">
        <f>'A1-Sum'!G30</f>
        <v>47075219</v>
      </c>
      <c r="J106" s="2016">
        <f>'A1-Sum'!H30</f>
        <v>47075219</v>
      </c>
      <c r="K106" s="2013">
        <f>'A1-Sum'!I30</f>
        <v>0</v>
      </c>
      <c r="L106" s="324">
        <f>'A1-Sum'!J30</f>
        <v>0</v>
      </c>
      <c r="M106" s="1597">
        <f>'A1-Sum'!K30</f>
        <v>0</v>
      </c>
    </row>
    <row r="107" spans="1:13" x14ac:dyDescent="0.25">
      <c r="A107" s="201" t="s">
        <v>1872</v>
      </c>
      <c r="B107" s="586"/>
      <c r="D107" s="2013">
        <f>'A1-Sum'!B28</f>
        <v>78407235</v>
      </c>
      <c r="E107" s="324">
        <f>'A1-Sum'!C28</f>
        <v>84654112.489999995</v>
      </c>
      <c r="F107" s="2016">
        <f>'A1-Sum'!D28</f>
        <v>148673829</v>
      </c>
      <c r="G107" s="2013">
        <f>'A1-Sum'!E28</f>
        <v>230014000</v>
      </c>
      <c r="H107" s="324">
        <f>'A1-Sum'!F28</f>
        <v>216718734</v>
      </c>
      <c r="I107" s="324">
        <f>'A1-Sum'!G28</f>
        <v>216718734</v>
      </c>
      <c r="J107" s="2016">
        <f>'A1-Sum'!H28</f>
        <v>216718734</v>
      </c>
      <c r="K107" s="2013">
        <f>'A1-Sum'!I28</f>
        <v>415658405</v>
      </c>
      <c r="L107" s="324">
        <f>'A1-Sum'!J28</f>
        <v>194271000</v>
      </c>
      <c r="M107" s="1597">
        <f>'A1-Sum'!K28</f>
        <v>192390000</v>
      </c>
    </row>
    <row r="108" spans="1:13" x14ac:dyDescent="0.25">
      <c r="A108" s="201" t="s">
        <v>1873</v>
      </c>
      <c r="B108" s="1577"/>
      <c r="D108" s="1593">
        <f>IF(ISERROR(('A1-Sum'!B29+'A1-Sum'!B31)/('A1-Sum'!B32-'A1-Sum'!B28)),0,(('A1-Sum'!B29+'A1-Sum'!B31)/('A1-Sum'!B32-'A1-Sum'!B28)))</f>
        <v>0</v>
      </c>
      <c r="E108" s="1593">
        <f>IF(ISERROR(('A1-Sum'!C29+'A1-Sum'!C31)/('A1-Sum'!C32-'A1-Sum'!C28)),0,(('A1-Sum'!C29+'A1-Sum'!C31)/('A1-Sum'!C32-'A1-Sum'!C28)))</f>
        <v>0</v>
      </c>
      <c r="F108" s="2017">
        <f>IF(ISERROR(('A1-Sum'!D29+'A1-Sum'!D31)/('A1-Sum'!D32-'A1-Sum'!D28)),0,(('A1-Sum'!D29+'A1-Sum'!D31)/('A1-Sum'!D32-'A1-Sum'!D28)))</f>
        <v>1</v>
      </c>
      <c r="G108" s="2020">
        <f>IF(ISERROR(('A1-Sum'!E29+'A1-Sum'!E31)/('A1-Sum'!E32-'A1-Sum'!E28)),0,(('A1-Sum'!E29+'A1-Sum'!E31)/('A1-Sum'!E32-'A1-Sum'!E28)))</f>
        <v>0</v>
      </c>
      <c r="H108" s="1593">
        <f>IF(ISERROR(('A1-Sum'!F29+'A1-Sum'!F31)/('A1-Sum'!F32-'A1-Sum'!F28)),0,(('A1-Sum'!F29+'A1-Sum'!F31)/('A1-Sum'!F32-'A1-Sum'!F28)))</f>
        <v>0.49401624187946869</v>
      </c>
      <c r="I108" s="1593">
        <f>IF(ISERROR(('A1-Sum'!G29+'A1-Sum'!G31)/('A1-Sum'!G32-'A1-Sum'!G28)),0,(('A1-Sum'!G29+'A1-Sum'!G31)/('A1-Sum'!G32-'A1-Sum'!G28)))</f>
        <v>0.49401624187946869</v>
      </c>
      <c r="J108" s="2017">
        <f>IF(ISERROR(('A1-Sum'!H29+'A1-Sum'!H31)/('A1-Sum'!H32-'A1-Sum'!H28)),0,(('A1-Sum'!H29+'A1-Sum'!H31)/('A1-Sum'!H32-'A1-Sum'!H28)))</f>
        <v>0.49401624187946869</v>
      </c>
      <c r="K108" s="2020">
        <f>IF(ISERROR(('A1-Sum'!I29+'A1-Sum'!I31)/('A1-Sum'!I32-'A1-Sum'!I28)),0,(('A1-Sum'!I29+'A1-Sum'!I31)/('A1-Sum'!I32-'A1-Sum'!I28)))</f>
        <v>1</v>
      </c>
      <c r="L108" s="1593">
        <f>IF(ISERROR(('A1-Sum'!J29+'A1-Sum'!J31)/('A1-Sum'!J32-'A1-Sum'!J28)),0,(('A1-Sum'!J29+'A1-Sum'!J31)/('A1-Sum'!J32-'A1-Sum'!J28)))</f>
        <v>1</v>
      </c>
      <c r="M108" s="1600">
        <f>IF(ISERROR(('A1-Sum'!K29+'A1-Sum'!K31)/('A1-Sum'!K32-'A1-Sum'!K28)),0,(('A1-Sum'!K29+'A1-Sum'!K31)/('A1-Sum'!K32-'A1-Sum'!K28)))</f>
        <v>1</v>
      </c>
    </row>
    <row r="109" spans="1:13" x14ac:dyDescent="0.25">
      <c r="A109" s="201" t="s">
        <v>1874</v>
      </c>
      <c r="B109" s="1577"/>
      <c r="D109" s="1593">
        <f>IF(ISERROR('A1-Sum'!B30/('A1-Sum'!B32-'A1-Sum'!B28)),0,('A1-Sum'!B30/('A1-Sum'!B32-'A1-Sum'!B28)))</f>
        <v>1</v>
      </c>
      <c r="E109" s="1593">
        <f>IF(ISERROR('A1-Sum'!C30/('A1-Sum'!C32-'A1-Sum'!C28)),0,('A1-Sum'!C30/('A1-Sum'!C32-'A1-Sum'!C28)))</f>
        <v>1.0000000000000002</v>
      </c>
      <c r="F109" s="2017">
        <f>IF(ISERROR('A1-Sum'!D30/('A1-Sum'!D32-'A1-Sum'!D28)),0,('A1-Sum'!D30/('A1-Sum'!D32-'A1-Sum'!D28)))</f>
        <v>0</v>
      </c>
      <c r="G109" s="2020">
        <f>IF(ISERROR('A1-Sum'!E30/('A1-Sum'!E32-'A1-Sum'!E28)),0,('A1-Sum'!E30/('A1-Sum'!E32-'A1-Sum'!E28)))</f>
        <v>0</v>
      </c>
      <c r="H109" s="1593">
        <f>IF(ISERROR('A1-Sum'!F30/('A1-Sum'!F32-'A1-Sum'!F28)),0,('A1-Sum'!F30/('A1-Sum'!F32-'A1-Sum'!F28)))</f>
        <v>0.50598375812053131</v>
      </c>
      <c r="I109" s="1593">
        <f>IF(ISERROR('A1-Sum'!G30/('A1-Sum'!G32-'A1-Sum'!G28)),0,('A1-Sum'!G30/('A1-Sum'!G32-'A1-Sum'!G28)))</f>
        <v>0.50598375812053131</v>
      </c>
      <c r="J109" s="2017">
        <f>IF(ISERROR('A1-Sum'!H30/('A1-Sum'!H32-'A1-Sum'!H28)),0,('A1-Sum'!H30/('A1-Sum'!H32-'A1-Sum'!H28)))</f>
        <v>0.50598375812053131</v>
      </c>
      <c r="K109" s="2020">
        <f>IF(ISERROR('A1-Sum'!I30/('A1-Sum'!I32-'A1-Sum'!I28)),0,('A1-Sum'!I30/('A1-Sum'!I32-'A1-Sum'!I28)))</f>
        <v>0</v>
      </c>
      <c r="L109" s="1593">
        <f>IF(ISERROR('A1-Sum'!J30/('A1-Sum'!J32-'A1-Sum'!J28)),0,('A1-Sum'!J30/('A1-Sum'!J32-'A1-Sum'!J28)))</f>
        <v>0</v>
      </c>
      <c r="M109" s="1600">
        <f>IF(ISERROR('A1-Sum'!K30/('A1-Sum'!K32-'A1-Sum'!K28)),0,('A1-Sum'!K30/('A1-Sum'!K32-'A1-Sum'!K28)))</f>
        <v>0</v>
      </c>
    </row>
    <row r="110" spans="1:13" x14ac:dyDescent="0.25">
      <c r="A110" s="1585" t="s">
        <v>1875</v>
      </c>
      <c r="B110" s="1587"/>
      <c r="C110" s="337"/>
      <c r="D110" s="2011">
        <f>IF(ISERROR('A1-Sum'!B28/'A1-Sum'!B32),0,('A1-Sum'!B28/'A1-Sum'!B32))</f>
        <v>0.44541089374060705</v>
      </c>
      <c r="E110" s="2011">
        <f>IF(ISERROR('A1-Sum'!C28/'A1-Sum'!C32),0,('A1-Sum'!C28/'A1-Sum'!C32))</f>
        <v>0.76162898803846768</v>
      </c>
      <c r="F110" s="2018">
        <f>IF(ISERROR('A1-Sum'!D28/'A1-Sum'!D32),0,('A1-Sum'!D28/'A1-Sum'!D32))</f>
        <v>0.66501898229165457</v>
      </c>
      <c r="G110" s="2021">
        <f>IF(ISERROR('A1-Sum'!E28/'A1-Sum'!E32),0,('A1-Sum'!E28/'A1-Sum'!E32))</f>
        <v>1</v>
      </c>
      <c r="H110" s="2011">
        <f>IF(ISERROR('A1-Sum'!F28/'A1-Sum'!F32),0,('A1-Sum'!F28/'A1-Sum'!F32))</f>
        <v>0.69964394204143099</v>
      </c>
      <c r="I110" s="2011">
        <f>IF(ISERROR('A1-Sum'!G28/'A1-Sum'!G32),0,('A1-Sum'!G28/'A1-Sum'!G32))</f>
        <v>0.69964394204143099</v>
      </c>
      <c r="J110" s="2018">
        <f>IF(ISERROR('A1-Sum'!H28/'A1-Sum'!H32),0,('A1-Sum'!H28/'A1-Sum'!H32))</f>
        <v>0.69964394204143099</v>
      </c>
      <c r="K110" s="2021">
        <f>IF(ISERROR('A1-Sum'!I28/'A1-Sum'!I32),0,('A1-Sum'!I28/'A1-Sum'!I32))</f>
        <v>0.87385886725272244</v>
      </c>
      <c r="L110" s="2011">
        <f>IF(ISERROR('A1-Sum'!J28/'A1-Sum'!J32),0,('A1-Sum'!J28/'A1-Sum'!J32))</f>
        <v>0.76403128945101884</v>
      </c>
      <c r="M110" s="2012">
        <f>IF(ISERROR('A1-Sum'!K28/'A1-Sum'!K32),0,('A1-Sum'!K28/'A1-Sum'!K32))</f>
        <v>0.79372086307190892</v>
      </c>
    </row>
    <row r="111" spans="1:13" x14ac:dyDescent="0.25">
      <c r="A111" s="1573" t="s">
        <v>1876</v>
      </c>
      <c r="B111" s="1575"/>
      <c r="D111" s="293"/>
      <c r="E111" s="293"/>
      <c r="F111" s="2015"/>
      <c r="G111" s="1434"/>
      <c r="H111" s="972"/>
      <c r="I111" s="972"/>
      <c r="J111" s="2015"/>
      <c r="K111" s="1434"/>
      <c r="L111" s="972"/>
      <c r="M111" s="1591"/>
    </row>
    <row r="112" spans="1:13" x14ac:dyDescent="0.25">
      <c r="A112" s="246" t="s">
        <v>1877</v>
      </c>
      <c r="B112" s="586"/>
      <c r="D112" s="2013">
        <f>'A1-Sum'!B27</f>
        <v>176033493</v>
      </c>
      <c r="E112" s="324">
        <f>'A1-Sum'!C27</f>
        <v>111148752.19999999</v>
      </c>
      <c r="F112" s="2016">
        <f>'A1-Sum'!D27</f>
        <v>223562988.60999995</v>
      </c>
      <c r="G112" s="2013">
        <f>'A1-Sum'!E27</f>
        <v>230014000</v>
      </c>
      <c r="H112" s="324">
        <f>'A1-Sum'!F27</f>
        <v>309755750</v>
      </c>
      <c r="I112" s="324">
        <f>'A1-Sum'!G27</f>
        <v>309755750</v>
      </c>
      <c r="J112" s="2016">
        <f>'A1-Sum'!H27</f>
        <v>309755750</v>
      </c>
      <c r="K112" s="2013">
        <f>'A1-Sum'!I27</f>
        <v>475658405</v>
      </c>
      <c r="L112" s="324">
        <f>'A1-Sum'!J27</f>
        <v>254271000</v>
      </c>
      <c r="M112" s="1597">
        <f>'A1-Sum'!K27</f>
        <v>242390000</v>
      </c>
    </row>
    <row r="113" spans="1:13" x14ac:dyDescent="0.25">
      <c r="A113" s="246" t="s">
        <v>1878</v>
      </c>
      <c r="B113" s="586"/>
      <c r="D113" s="2013">
        <f>'A1-Sum'!B55</f>
        <v>95810000</v>
      </c>
      <c r="E113" s="324">
        <f>'A1-Sum'!C55</f>
        <v>88821854.060000002</v>
      </c>
      <c r="F113" s="2016">
        <f>'A1-Sum'!D55</f>
        <v>0</v>
      </c>
      <c r="G113" s="2013">
        <f>'A1-Sum'!E55</f>
        <v>119911590</v>
      </c>
      <c r="H113" s="324">
        <f>'A1-Sum'!F55</f>
        <v>174102674</v>
      </c>
      <c r="I113" s="324">
        <f>'A1-Sum'!G55</f>
        <v>174102674</v>
      </c>
      <c r="J113" s="2016">
        <f>'A1-Sum'!H55</f>
        <v>174102674</v>
      </c>
      <c r="K113" s="2013">
        <f>'A1-Sum'!I55</f>
        <v>287608405</v>
      </c>
      <c r="L113" s="324">
        <f>'A1-Sum'!J55</f>
        <v>187929000</v>
      </c>
      <c r="M113" s="1597">
        <f>'A1-Sum'!K55</f>
        <v>190400000</v>
      </c>
    </row>
    <row r="114" spans="1:13" x14ac:dyDescent="0.25">
      <c r="A114" s="1585" t="s">
        <v>1879</v>
      </c>
      <c r="B114" s="1587"/>
      <c r="C114" s="337"/>
      <c r="D114" s="1592">
        <f>IF(ISERROR('A1-Sum'!B55/'A1-Sum'!B32),0,('A1-Sum'!B55/'A1-Sum'!B32))</f>
        <v>0.54427142762128466</v>
      </c>
      <c r="E114" s="1592">
        <f>IF(ISERROR('A1-Sum'!C55/'A1-Sum'!C32),0,('A1-Sum'!C55/'A1-Sum'!C32))</f>
        <v>0.79912595895928296</v>
      </c>
      <c r="F114" s="1592">
        <f>IF(ISERROR('A1-Sum'!D55/'A1-Sum'!D32),0,('A1-Sum'!D55/'A1-Sum'!D32))</f>
        <v>0</v>
      </c>
      <c r="G114" s="1592">
        <f>IF(ISERROR('A1-Sum'!E55/'A1-Sum'!E32),0,('A1-Sum'!E55/'A1-Sum'!E32))</f>
        <v>0.52132300642569585</v>
      </c>
      <c r="H114" s="1592">
        <f>IF(ISERROR('A1-Sum'!F55/'A1-Sum'!F32),0,('A1-Sum'!F55/'A1-Sum'!F32))</f>
        <v>0.56206438137145154</v>
      </c>
      <c r="I114" s="1592">
        <f>IF(ISERROR('A1-Sum'!G55/'A1-Sum'!G32),0,('A1-Sum'!G55/'A1-Sum'!G32))</f>
        <v>0.56206438137145154</v>
      </c>
      <c r="J114" s="1592">
        <f>IF(ISERROR('A1-Sum'!H55/'A1-Sum'!H32),0,('A1-Sum'!H55/'A1-Sum'!H32))</f>
        <v>0.56206438137145154</v>
      </c>
      <c r="K114" s="1592">
        <f>IF(ISERROR('A1-Sum'!I55/'A1-Sum'!I32),0,('A1-Sum'!I55/'A1-Sum'!I32))</f>
        <v>0.60465312858442555</v>
      </c>
      <c r="L114" s="1592">
        <f>IF(ISERROR('A1-Sum'!J55/'A1-Sum'!J32),0,('A1-Sum'!J55/'A1-Sum'!J32))</f>
        <v>0.7390893967459915</v>
      </c>
      <c r="M114" s="1592">
        <f>IF(ISERROR('A1-Sum'!K55/'A1-Sum'!K32),0,('A1-Sum'!K55/'A1-Sum'!K32))</f>
        <v>0.78551095342217092</v>
      </c>
    </row>
    <row r="115" spans="1:13" x14ac:dyDescent="0.25">
      <c r="A115" s="1573" t="s">
        <v>700</v>
      </c>
      <c r="B115" s="1575"/>
      <c r="D115" s="293"/>
      <c r="E115" s="293"/>
      <c r="F115" s="2015"/>
      <c r="G115" s="1434"/>
      <c r="H115" s="972"/>
      <c r="I115" s="972"/>
      <c r="J115" s="2015"/>
      <c r="K115" s="1434"/>
      <c r="L115" s="972"/>
      <c r="M115" s="1591"/>
    </row>
    <row r="116" spans="1:13" x14ac:dyDescent="0.25">
      <c r="A116" s="246" t="s">
        <v>1880</v>
      </c>
      <c r="B116" s="1577"/>
      <c r="D116" s="1593">
        <f>'SA10'!D10</f>
        <v>0.88956500130891203</v>
      </c>
      <c r="E116" s="1593">
        <f>'SA10'!E10</f>
        <v>0.94141647486959179</v>
      </c>
      <c r="F116" s="2017">
        <f>'SA10'!F10</f>
        <v>1.1595371722317929</v>
      </c>
      <c r="G116" s="2020">
        <f>'SA10'!G10</f>
        <v>0.90410135444897965</v>
      </c>
      <c r="H116" s="1593">
        <f>'SA10'!H10</f>
        <v>1.1126710513877263</v>
      </c>
      <c r="I116" s="1593">
        <f>'SA10'!I10</f>
        <v>1.1126710513877263</v>
      </c>
      <c r="J116" s="2017">
        <f>'SA10'!J10</f>
        <v>1.1126714638997157</v>
      </c>
      <c r="K116" s="2020">
        <f>'SA10'!K10</f>
        <v>1.0693679652982286</v>
      </c>
      <c r="L116" s="1593">
        <f>'SA10'!L10</f>
        <v>0.94475304452379638</v>
      </c>
      <c r="M116" s="1600">
        <f>'SA10'!M10</f>
        <v>0.9250196637307142</v>
      </c>
    </row>
    <row r="117" spans="1:13" x14ac:dyDescent="0.25">
      <c r="A117" s="1585" t="s">
        <v>1881</v>
      </c>
      <c r="B117" s="1588"/>
      <c r="C117" s="337"/>
      <c r="D117" s="1595">
        <f>'SA10'!D7</f>
        <v>2.6088383033661233</v>
      </c>
      <c r="E117" s="1595">
        <f>'SA10'!E7</f>
        <v>3.5552958404189936</v>
      </c>
      <c r="F117" s="2023">
        <f>'SA10'!F7</f>
        <v>5.0866054447744844</v>
      </c>
      <c r="G117" s="2025">
        <f>'SA10'!G7</f>
        <v>2.3081025700902407</v>
      </c>
      <c r="H117" s="1595">
        <f>'SA10'!H7</f>
        <v>2.8299283938052753</v>
      </c>
      <c r="I117" s="1595">
        <f>'SA10'!I7</f>
        <v>2.8322455530873265</v>
      </c>
      <c r="J117" s="2023">
        <f>'SA10'!J7</f>
        <v>2.8322453788137243</v>
      </c>
      <c r="K117" s="2025">
        <f>'SA10'!K7</f>
        <v>2.8773613863221277</v>
      </c>
      <c r="L117" s="1595">
        <f>'SA10'!L7</f>
        <v>3.2226462311815753</v>
      </c>
      <c r="M117" s="1601">
        <f>'SA10'!M7</f>
        <v>3.4125102468402817</v>
      </c>
    </row>
    <row r="118" spans="1:13" x14ac:dyDescent="0.25">
      <c r="A118" s="1573" t="s">
        <v>1280</v>
      </c>
      <c r="B118" s="1575"/>
      <c r="D118" s="293"/>
      <c r="E118" s="293"/>
      <c r="F118" s="2015"/>
      <c r="G118" s="1434"/>
      <c r="H118" s="972"/>
      <c r="I118" s="972"/>
      <c r="J118" s="2015"/>
      <c r="K118" s="1434"/>
      <c r="L118" s="972"/>
      <c r="M118" s="1591"/>
    </row>
    <row r="119" spans="1:13" ht="5.15" customHeight="1" x14ac:dyDescent="0.25">
      <c r="A119" s="1574"/>
      <c r="B119" s="1577"/>
      <c r="D119" s="2009"/>
      <c r="E119" s="2009"/>
      <c r="F119" s="2022"/>
      <c r="G119" s="2024"/>
      <c r="H119" s="2009"/>
      <c r="I119" s="2009"/>
      <c r="J119" s="2022"/>
      <c r="K119" s="2024"/>
      <c r="L119" s="2009"/>
      <c r="M119" s="2010"/>
    </row>
    <row r="120" spans="1:13" x14ac:dyDescent="0.25">
      <c r="A120" s="1574" t="s">
        <v>1882</v>
      </c>
      <c r="B120" s="1575"/>
      <c r="D120" s="1598"/>
      <c r="E120" s="293"/>
      <c r="F120" s="2015"/>
      <c r="G120" s="1434"/>
      <c r="H120" s="972"/>
      <c r="I120" s="972"/>
      <c r="J120" s="2015"/>
      <c r="K120" s="2026">
        <f>'SA8'!F6</f>
        <v>0</v>
      </c>
      <c r="L120" s="972"/>
      <c r="M120" s="1591"/>
    </row>
    <row r="121" spans="1:13" x14ac:dyDescent="0.25">
      <c r="A121" s="1574" t="s">
        <v>1883</v>
      </c>
      <c r="B121" s="1577"/>
      <c r="D121" s="2009">
        <f>'SA8'!C7</f>
        <v>2.6815241751140324E-2</v>
      </c>
      <c r="E121" s="2009">
        <f>'SA8'!D7</f>
        <v>2.5494452630309878E-2</v>
      </c>
      <c r="F121" s="2022">
        <f>'SA8'!E7</f>
        <v>3.105934792178178E-2</v>
      </c>
      <c r="G121" s="2024">
        <f>'SA8'!F7</f>
        <v>1.9369041604805858E-2</v>
      </c>
      <c r="H121" s="2009">
        <f>'SA8'!G7</f>
        <v>1.6330375977664367E-2</v>
      </c>
      <c r="I121" s="2009">
        <f>'SA8'!H7</f>
        <v>1.6330383669941457E-2</v>
      </c>
      <c r="J121" s="2022">
        <f>'SA8'!I7</f>
        <v>1.6330382787990733E-2</v>
      </c>
      <c r="K121" s="2024">
        <f>'SA8'!J7</f>
        <v>7.6486217722884853E-3</v>
      </c>
      <c r="L121" s="2009">
        <f>'SA8'!K7</f>
        <v>6.0780569892689125E-3</v>
      </c>
      <c r="M121" s="2010">
        <f>'SA8'!L7</f>
        <v>-5.3999038721444396E-2</v>
      </c>
    </row>
    <row r="122" spans="1:13" x14ac:dyDescent="0.25">
      <c r="A122" s="1589" t="s">
        <v>1884</v>
      </c>
      <c r="B122" s="1587"/>
      <c r="C122" s="337"/>
      <c r="D122" s="1592">
        <f>'SA10'!D13</f>
        <v>1.9319171480680652</v>
      </c>
      <c r="E122" s="1592">
        <f>'SA10'!E13</f>
        <v>-2.1470408091537663</v>
      </c>
      <c r="F122" s="2014">
        <f>'SA10'!F13</f>
        <v>1.5003630864884459</v>
      </c>
      <c r="G122" s="2019">
        <f>'SA10'!G13</f>
        <v>0</v>
      </c>
      <c r="H122" s="1592">
        <f>'SA10'!H13</f>
        <v>0</v>
      </c>
      <c r="I122" s="1592">
        <f>'SA10'!I13</f>
        <v>0</v>
      </c>
      <c r="J122" s="2014">
        <f>'SA10'!J13</f>
        <v>0</v>
      </c>
      <c r="K122" s="2019">
        <f>'SA10'!K13</f>
        <v>0</v>
      </c>
      <c r="L122" s="1592">
        <f>'SA10'!L13</f>
        <v>0</v>
      </c>
      <c r="M122" s="1599">
        <f>'SA10'!M13</f>
        <v>-0.85740000000000005</v>
      </c>
    </row>
    <row r="123" spans="1:13" x14ac:dyDescent="0.25">
      <c r="A123" s="1573" t="s">
        <v>751</v>
      </c>
      <c r="B123" s="1575"/>
      <c r="D123" s="293"/>
      <c r="E123" s="293"/>
      <c r="F123" s="2015"/>
      <c r="G123" s="1434"/>
      <c r="H123" s="972"/>
      <c r="I123" s="972"/>
      <c r="J123" s="2015"/>
      <c r="K123" s="1434"/>
      <c r="L123" s="972"/>
      <c r="M123" s="555"/>
    </row>
    <row r="124" spans="1:13" x14ac:dyDescent="0.25">
      <c r="A124" s="1585" t="s">
        <v>1710</v>
      </c>
      <c r="B124" s="1590"/>
      <c r="C124" s="337"/>
      <c r="D124" s="1595">
        <f>'A8-ResRecon'!C19</f>
        <v>-721748273</v>
      </c>
      <c r="E124" s="1595">
        <f>'A8-ResRecon'!D19</f>
        <v>-356195734</v>
      </c>
      <c r="F124" s="2023">
        <f>'A8-ResRecon'!E19</f>
        <v>589026902.75</v>
      </c>
      <c r="G124" s="2025">
        <f>'A8-ResRecon'!F19</f>
        <v>424033408</v>
      </c>
      <c r="H124" s="1595">
        <f>'A8-ResRecon'!G19</f>
        <v>1364892245</v>
      </c>
      <c r="I124" s="1595">
        <f>'A8-ResRecon'!H19</f>
        <v>717583117</v>
      </c>
      <c r="J124" s="2023">
        <f>'A8-ResRecon'!I19</f>
        <v>1364893245</v>
      </c>
      <c r="K124" s="2025">
        <f>'A8-ResRecon'!J19</f>
        <v>911230904.09899998</v>
      </c>
      <c r="L124" s="1595">
        <f>'A8-ResRecon'!K19</f>
        <v>809534107.49985087</v>
      </c>
      <c r="M124" s="1601">
        <f>'A8-ResRecon'!L19</f>
        <v>1770781781</v>
      </c>
    </row>
    <row r="125" spans="1:13" x14ac:dyDescent="0.25">
      <c r="A125" s="1573" t="s">
        <v>1885</v>
      </c>
      <c r="B125" s="1575"/>
      <c r="D125" s="293"/>
      <c r="E125" s="293"/>
      <c r="F125" s="2015"/>
      <c r="G125" s="1434"/>
      <c r="H125" s="972"/>
      <c r="I125" s="972"/>
      <c r="J125" s="555"/>
      <c r="K125" s="1598"/>
      <c r="L125" s="972"/>
      <c r="M125" s="1591"/>
    </row>
    <row r="126" spans="1:13" x14ac:dyDescent="0.25">
      <c r="A126" s="246" t="s">
        <v>1886</v>
      </c>
      <c r="B126" s="1578"/>
      <c r="D126" s="2009">
        <f>IF(ISERROR('A10-SerDel'!C59/'SA18'!C8),0,('A10-SerDel'!C59/'SA18'!C8))</f>
        <v>0.19639922631916087</v>
      </c>
      <c r="E126" s="2009">
        <f>IF(ISERROR('A10-SerDel'!D59/'SA18'!D8),0,('A10-SerDel'!D59/'SA18'!D8))</f>
        <v>0</v>
      </c>
      <c r="F126" s="2022">
        <f>IF(ISERROR('A10-SerDel'!E59/'SA18'!E8),0,('A10-SerDel'!E59/'SA18'!E8))</f>
        <v>0</v>
      </c>
      <c r="G126" s="2024">
        <f>IF(ISERROR('A10-SerDel'!F59/'SA18'!F8),0,('A10-SerDel'!F59/'SA18'!F8))</f>
        <v>0</v>
      </c>
      <c r="H126" s="2009">
        <f>IF(ISERROR('A10-SerDel'!G59/'SA18'!G8),0,('A10-SerDel'!G59/'SA18'!G8))</f>
        <v>0</v>
      </c>
      <c r="I126" s="2009">
        <f>IF(ISERROR('A10-SerDel'!H59/'SA18'!H8),0,('A10-SerDel'!H59/'SA18'!H8))</f>
        <v>0</v>
      </c>
      <c r="J126" s="2010"/>
      <c r="K126" s="2027">
        <f>IF(ISERROR('A10-SerDel'!I59/'SA18'!I8),0,('A10-SerDel'!I59/'SA18'!I8))</f>
        <v>0</v>
      </c>
      <c r="L126" s="2009">
        <f>IF(ISERROR('A10-SerDel'!J59/'SA18'!J8),0,('A10-SerDel'!J59/'SA18'!J8))</f>
        <v>0</v>
      </c>
      <c r="M126" s="2010">
        <f>IF(ISERROR('A10-SerDel'!K59/'SA18'!K8),0,('A10-SerDel'!K59/'SA18'!K8))</f>
        <v>0</v>
      </c>
    </row>
    <row r="127" spans="1:13" ht="21" x14ac:dyDescent="0.25">
      <c r="A127" s="1579" t="s">
        <v>1887</v>
      </c>
      <c r="B127" s="1577"/>
      <c r="D127" s="2009">
        <f>IF(ISERROR('A10-SerDel'!C78/('A1-Sum'!B10-'A1-Sum'!B8)),0,('A10-SerDel'!C78/('A1-Sum'!B10-'A1-Sum'!B8)))</f>
        <v>3.2117287381225539E-2</v>
      </c>
      <c r="E127" s="2009">
        <f>IF(ISERROR('A10-SerDel'!D78/('A1-Sum'!C10-'A1-Sum'!C8)),0,('A10-SerDel'!D78/('A1-Sum'!C10-'A1-Sum'!C8)))</f>
        <v>0.10618410345185457</v>
      </c>
      <c r="F127" s="2010">
        <f>IF(ISERROR('A10-SerDel'!E78/('A1-Sum'!D10-'A1-Sum'!D8)),0,('A10-SerDel'!E78/('A1-Sum'!D10-'A1-Sum'!D8)))</f>
        <v>0</v>
      </c>
      <c r="G127" s="2027">
        <f>IF(ISERROR('A10-SerDel'!F78/('A1-Sum'!E10-'A1-Sum'!E8)),0,('A10-SerDel'!F78/('A1-Sum'!E10-'A1-Sum'!E8)))</f>
        <v>0.12922473839249388</v>
      </c>
      <c r="H127" s="2009">
        <f>IF(ISERROR('A10-SerDel'!G78/('A1-Sum'!F10-'A1-Sum'!F8)),0,('A10-SerDel'!G78/('A1-Sum'!F10-'A1-Sum'!F8)))</f>
        <v>0.12479569433640564</v>
      </c>
      <c r="I127" s="2009">
        <f>IF(ISERROR('A10-SerDel'!H78/('A1-Sum'!G10-'A1-Sum'!G8)),0,('A10-SerDel'!H78/('A1-Sum'!G10-'A1-Sum'!G8)))</f>
        <v>0.12479569433640564</v>
      </c>
      <c r="J127" s="2010"/>
      <c r="K127" s="2027">
        <f>IF(ISERROR('A10-SerDel'!I78/('A1-Sum'!I10-'A1-Sum'!I8)),0,('A10-SerDel'!I78/('A1-Sum'!I10-'A1-Sum'!I8)))</f>
        <v>0.12585084374745212</v>
      </c>
      <c r="L127" s="2009">
        <f>IF(ISERROR('A10-SerDel'!J78/('A1-Sum'!J10-'A1-Sum'!J8)),0,('A10-SerDel'!J78/('A1-Sum'!J10-'A1-Sum'!J8)))</f>
        <v>0.12489600515978172</v>
      </c>
      <c r="M127" s="2009">
        <f>IF(ISERROR('A10-SerDel'!K78/('A1-Sum'!K10-'A1-Sum'!K8)),0,('A10-SerDel'!K78/('A1-Sum'!K10-'A1-Sum'!K8)))</f>
        <v>0.123684693726514</v>
      </c>
    </row>
    <row r="128" spans="1:13" ht="5.25" customHeight="1" x14ac:dyDescent="0.25">
      <c r="A128" s="1579"/>
      <c r="B128" s="1577"/>
      <c r="D128" s="2027"/>
      <c r="E128" s="2009"/>
      <c r="F128" s="1599"/>
      <c r="G128" s="2027"/>
      <c r="H128" s="2009"/>
      <c r="I128" s="2009"/>
      <c r="J128" s="2010"/>
      <c r="K128" s="2027"/>
      <c r="L128" s="2009"/>
      <c r="M128" s="2010"/>
    </row>
    <row r="129" spans="1:13" ht="18" customHeight="1" x14ac:dyDescent="0.25">
      <c r="A129" s="2028" t="s">
        <v>1930</v>
      </c>
      <c r="B129" s="2031"/>
      <c r="C129" s="2032"/>
      <c r="D129" s="2033"/>
      <c r="E129" s="2034"/>
      <c r="F129" s="2035"/>
      <c r="G129" s="2036"/>
      <c r="H129" s="2037"/>
      <c r="I129" s="2037"/>
      <c r="J129" s="2035"/>
      <c r="K129" s="2036"/>
      <c r="L129" s="2037"/>
      <c r="M129" s="2035"/>
    </row>
    <row r="130" spans="1:13" ht="11.5" x14ac:dyDescent="0.25">
      <c r="A130" s="2029" t="s">
        <v>1854</v>
      </c>
      <c r="B130" s="2038"/>
      <c r="C130" s="2039"/>
      <c r="D130" s="2040">
        <f>D86</f>
        <v>2575835750</v>
      </c>
      <c r="E130" s="2040">
        <f t="shared" ref="E130:M130" si="10">E86</f>
        <v>2901980506</v>
      </c>
      <c r="F130" s="2049">
        <f t="shared" si="10"/>
        <v>2887563942</v>
      </c>
      <c r="G130" s="2040">
        <f t="shared" si="10"/>
        <v>2987790079.2277331</v>
      </c>
      <c r="H130" s="2040">
        <f t="shared" si="10"/>
        <v>3138031602</v>
      </c>
      <c r="I130" s="2040">
        <f t="shared" si="10"/>
        <v>3138031602</v>
      </c>
      <c r="J130" s="2049">
        <f>J86</f>
        <v>3138031151</v>
      </c>
      <c r="K130" s="2040">
        <f t="shared" si="10"/>
        <v>3540414280</v>
      </c>
      <c r="L130" s="2040">
        <f t="shared" si="10"/>
        <v>3722549259</v>
      </c>
      <c r="M130" s="2049">
        <f t="shared" si="10"/>
        <v>4053497960.6061091</v>
      </c>
    </row>
    <row r="131" spans="1:13" ht="11.5" x14ac:dyDescent="0.25">
      <c r="A131" s="2029" t="s">
        <v>1855</v>
      </c>
      <c r="B131" s="2038"/>
      <c r="C131" s="2039"/>
      <c r="D131" s="2040">
        <f t="shared" ref="D131:M132" si="11">D87</f>
        <v>2807100182</v>
      </c>
      <c r="E131" s="2040">
        <f t="shared" si="11"/>
        <v>2807201317</v>
      </c>
      <c r="F131" s="2049">
        <f t="shared" si="11"/>
        <v>2653096169.5500002</v>
      </c>
      <c r="G131" s="2040">
        <f t="shared" si="11"/>
        <v>2982646285.6926188</v>
      </c>
      <c r="H131" s="2040">
        <f t="shared" si="11"/>
        <v>3129240568</v>
      </c>
      <c r="I131" s="2040">
        <f t="shared" si="11"/>
        <v>3129239094</v>
      </c>
      <c r="J131" s="2049">
        <f t="shared" si="11"/>
        <v>3129239263</v>
      </c>
      <c r="K131" s="2040">
        <f t="shared" si="11"/>
        <v>3473828461</v>
      </c>
      <c r="L131" s="2040">
        <f t="shared" si="11"/>
        <v>3657992355</v>
      </c>
      <c r="M131" s="2049">
        <f t="shared" si="11"/>
        <v>4003497194</v>
      </c>
    </row>
    <row r="132" spans="1:13" ht="11.5" x14ac:dyDescent="0.25">
      <c r="A132" s="2029" t="s">
        <v>1931</v>
      </c>
      <c r="B132" s="2038"/>
      <c r="C132" s="2039"/>
      <c r="D132" s="2040">
        <f t="shared" si="11"/>
        <v>-231264432</v>
      </c>
      <c r="E132" s="2040">
        <f t="shared" si="11"/>
        <v>94779189</v>
      </c>
      <c r="F132" s="2049">
        <f t="shared" si="11"/>
        <v>234467772.44999981</v>
      </c>
      <c r="G132" s="2040">
        <f t="shared" si="11"/>
        <v>5143793.5351142883</v>
      </c>
      <c r="H132" s="2040">
        <f t="shared" si="11"/>
        <v>8791034</v>
      </c>
      <c r="I132" s="2040">
        <f t="shared" si="11"/>
        <v>8792508</v>
      </c>
      <c r="J132" s="2049">
        <f t="shared" si="11"/>
        <v>8791888</v>
      </c>
      <c r="K132" s="2040">
        <f t="shared" si="11"/>
        <v>66585819</v>
      </c>
      <c r="L132" s="2040">
        <f t="shared" si="11"/>
        <v>64556904</v>
      </c>
      <c r="M132" s="2049">
        <f t="shared" si="11"/>
        <v>50000766.606109142</v>
      </c>
    </row>
    <row r="133" spans="1:13" ht="11.5" x14ac:dyDescent="0.25">
      <c r="A133" s="2029" t="s">
        <v>1933</v>
      </c>
      <c r="B133" s="2038"/>
      <c r="C133" s="2039"/>
      <c r="D133" s="2040">
        <f>D132+'A8-ResRecon'!C19</f>
        <v>-953012705</v>
      </c>
      <c r="E133" s="2040">
        <f>E132+'A8-ResRecon'!D19</f>
        <v>-261416545</v>
      </c>
      <c r="F133" s="2049">
        <f>F132+'A8-ResRecon'!E19</f>
        <v>823494675.19999981</v>
      </c>
      <c r="G133" s="2040">
        <f>G132+'A8-ResRecon'!F19</f>
        <v>429177201.53511429</v>
      </c>
      <c r="H133" s="2040">
        <f>H132+'A8-ResRecon'!G19</f>
        <v>1373683279</v>
      </c>
      <c r="I133" s="2040">
        <f>I132+'A8-ResRecon'!H19</f>
        <v>726375625</v>
      </c>
      <c r="J133" s="2049">
        <f>J132+'A8-ResRecon'!I19</f>
        <v>1373685133</v>
      </c>
      <c r="K133" s="2040">
        <f>K132+'A8-ResRecon'!J19</f>
        <v>977816723.09899998</v>
      </c>
      <c r="L133" s="2040">
        <f>L132+'A8-ResRecon'!K19</f>
        <v>874091011.49985087</v>
      </c>
      <c r="M133" s="2049">
        <f>M132+'A8-ResRecon'!L19</f>
        <v>1820782547.6061091</v>
      </c>
    </row>
    <row r="134" spans="1:13" ht="11.5" x14ac:dyDescent="0.25">
      <c r="A134" s="2030" t="s">
        <v>1932</v>
      </c>
      <c r="B134" s="2029"/>
      <c r="C134" s="2518">
        <v>15</v>
      </c>
      <c r="D134" s="2050">
        <f>IF(D133&gt;=0,1,0)</f>
        <v>0</v>
      </c>
      <c r="E134" s="2050">
        <f t="shared" ref="E134:M134" si="12">IF(E133&gt;=0,1,0)</f>
        <v>0</v>
      </c>
      <c r="F134" s="2051">
        <f t="shared" si="12"/>
        <v>1</v>
      </c>
      <c r="G134" s="2050">
        <f t="shared" si="12"/>
        <v>1</v>
      </c>
      <c r="H134" s="2050">
        <f t="shared" si="12"/>
        <v>1</v>
      </c>
      <c r="I134" s="2050">
        <f t="shared" si="12"/>
        <v>1</v>
      </c>
      <c r="J134" s="2051">
        <f t="shared" si="12"/>
        <v>1</v>
      </c>
      <c r="K134" s="2050">
        <f t="shared" si="12"/>
        <v>1</v>
      </c>
      <c r="L134" s="2050">
        <f t="shared" si="12"/>
        <v>1</v>
      </c>
      <c r="M134" s="2051">
        <f t="shared" si="12"/>
        <v>1</v>
      </c>
    </row>
    <row r="135" spans="1:13" s="2098" customFormat="1" ht="11.5" x14ac:dyDescent="0.25">
      <c r="A135" s="2094" t="s">
        <v>1941</v>
      </c>
      <c r="B135" s="2095"/>
      <c r="C135" s="2039">
        <v>15</v>
      </c>
      <c r="D135" s="2096" t="str">
        <f>IF(D134=1,"ü","û")</f>
        <v>û</v>
      </c>
      <c r="E135" s="2096" t="str">
        <f t="shared" ref="E135:M135" si="13">IF(E134=1,"ü","û")</f>
        <v>û</v>
      </c>
      <c r="F135" s="2097" t="str">
        <f t="shared" si="13"/>
        <v>ü</v>
      </c>
      <c r="G135" s="2096" t="str">
        <f t="shared" si="13"/>
        <v>ü</v>
      </c>
      <c r="H135" s="2096" t="str">
        <f t="shared" si="13"/>
        <v>ü</v>
      </c>
      <c r="I135" s="2096" t="str">
        <f t="shared" si="13"/>
        <v>ü</v>
      </c>
      <c r="J135" s="2097" t="str">
        <f t="shared" si="13"/>
        <v>ü</v>
      </c>
      <c r="K135" s="2096" t="str">
        <f t="shared" si="13"/>
        <v>ü</v>
      </c>
      <c r="L135" s="2096" t="str">
        <f t="shared" si="13"/>
        <v>ü</v>
      </c>
      <c r="M135" s="2097" t="str">
        <f t="shared" si="13"/>
        <v>ü</v>
      </c>
    </row>
    <row r="136" spans="1:13" ht="11.5" x14ac:dyDescent="0.25">
      <c r="A136" s="2041"/>
      <c r="B136" s="2042"/>
      <c r="C136" s="2043"/>
      <c r="D136" s="2044"/>
      <c r="E136" s="2045"/>
      <c r="F136" s="2046"/>
      <c r="G136" s="2047"/>
      <c r="H136" s="2048"/>
      <c r="I136" s="2048"/>
      <c r="J136" s="2046"/>
      <c r="K136" s="2047"/>
      <c r="L136" s="2048"/>
      <c r="M136" s="2046"/>
    </row>
    <row r="137" spans="1:13" x14ac:dyDescent="0.25">
      <c r="A137" s="2519" t="str">
        <f>head27a</f>
        <v>References</v>
      </c>
    </row>
    <row r="138" spans="1:13" x14ac:dyDescent="0.25">
      <c r="A138" s="461" t="s">
        <v>2236</v>
      </c>
    </row>
  </sheetData>
  <sheetProtection password="C646" sheet="1" objects="1" scenarios="1"/>
  <mergeCells count="5">
    <mergeCell ref="A2:A3"/>
    <mergeCell ref="K2:M2"/>
    <mergeCell ref="B2:B3"/>
    <mergeCell ref="C2:C3"/>
    <mergeCell ref="G2:J2"/>
  </mergeCells>
  <phoneticPr fontId="2" type="noConversion"/>
  <dataValidations count="1">
    <dataValidation type="decimal" allowBlank="1" showInputMessage="1" showErrorMessage="1" sqref="K63:M67 K72:M75 K78:M81">
      <formula1>-9999999999999990</formula1>
      <formula2>99999999999999900</formula2>
    </dataValidation>
  </dataValidations>
  <printOptions horizontalCentered="1"/>
  <pageMargins left="0" right="0" top="0.78740157480314965" bottom="0.59055118110236227" header="0.51181102362204722" footer="0.39"/>
  <pageSetup paperSize="9" scale="73" orientation="portrait" horizontalDpi="300" verticalDpi="300" r:id="rId1"/>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enableFormatConditionsCalculation="0">
    <tabColor rgb="FF92D050"/>
    <pageSetUpPr fitToPage="1"/>
  </sheetPr>
  <dimension ref="A1:J181"/>
  <sheetViews>
    <sheetView topLeftCell="C1" zoomScaleNormal="100" workbookViewId="0">
      <pane ySplit="1" topLeftCell="A2" activePane="bottomLeft" state="frozen"/>
      <selection pane="bottomLeft" activeCell="A125" sqref="A125:IV125"/>
    </sheetView>
  </sheetViews>
  <sheetFormatPr defaultColWidth="9.1796875" defaultRowHeight="10" x14ac:dyDescent="0.2"/>
  <cols>
    <col min="1" max="1" width="23.1796875" style="1389" customWidth="1"/>
    <col min="2" max="2" width="92.1796875" style="1388" customWidth="1"/>
    <col min="3" max="3" width="17.54296875" style="1388" customWidth="1"/>
    <col min="4" max="4" width="10.54296875" style="1388" bestFit="1" customWidth="1"/>
    <col min="5" max="5" width="87.7265625" style="1388" customWidth="1"/>
    <col min="6" max="6" width="78.1796875" style="1388" customWidth="1"/>
    <col min="7" max="10" width="9.1796875" style="1389"/>
    <col min="11" max="16384" width="9.1796875" style="1388"/>
  </cols>
  <sheetData>
    <row r="1" spans="1:4" ht="10.5" x14ac:dyDescent="0.25">
      <c r="A1" s="2642" t="s">
        <v>972</v>
      </c>
      <c r="B1" s="2643"/>
      <c r="C1" s="2643"/>
      <c r="D1" s="2644"/>
    </row>
    <row r="2" spans="1:4" x14ac:dyDescent="0.2">
      <c r="A2" s="1602" t="s">
        <v>752</v>
      </c>
      <c r="B2" s="1603" t="str">
        <f>HLOOKUP(MTREF,Headings,2)</f>
        <v>2011/12</v>
      </c>
      <c r="C2" s="1604" t="s">
        <v>125</v>
      </c>
      <c r="D2" s="1605"/>
    </row>
    <row r="3" spans="1:4" x14ac:dyDescent="0.2">
      <c r="A3" s="1606" t="s">
        <v>405</v>
      </c>
      <c r="B3" s="1607" t="str">
        <f>HLOOKUP(MTREF,Headings,3)</f>
        <v>2010/11</v>
      </c>
      <c r="C3" s="1608" t="s">
        <v>126</v>
      </c>
      <c r="D3" s="1609"/>
    </row>
    <row r="4" spans="1:4" x14ac:dyDescent="0.2">
      <c r="A4" s="1606" t="s">
        <v>805</v>
      </c>
      <c r="B4" s="1607" t="str">
        <f>HLOOKUP(MTREF,Headings,4)</f>
        <v>2009/10</v>
      </c>
      <c r="C4" s="1608" t="s">
        <v>127</v>
      </c>
      <c r="D4" s="1609"/>
    </row>
    <row r="5" spans="1:4" x14ac:dyDescent="0.2">
      <c r="A5" s="1606" t="s">
        <v>1607</v>
      </c>
      <c r="B5" s="1608" t="str">
        <f>HLOOKUP(MTREF,Headings,5)</f>
        <v>Current Year 2012/13</v>
      </c>
      <c r="C5" s="1608" t="s">
        <v>890</v>
      </c>
      <c r="D5" s="1609"/>
    </row>
    <row r="6" spans="1:4" x14ac:dyDescent="0.2">
      <c r="A6" s="1606" t="s">
        <v>780</v>
      </c>
      <c r="B6" s="1607" t="str">
        <f>HLOOKUP(MTREF,Headings,6)</f>
        <v>2012/13</v>
      </c>
      <c r="C6" s="1608" t="s">
        <v>890</v>
      </c>
      <c r="D6" s="1609"/>
    </row>
    <row r="7" spans="1:4" x14ac:dyDescent="0.2">
      <c r="A7" s="1606" t="s">
        <v>1608</v>
      </c>
      <c r="B7" s="1608" t="str">
        <f>HLOOKUP(MTREF,Headings,7)</f>
        <v>2013/14 Medium Term Revenue &amp; Expenditure Framework</v>
      </c>
      <c r="C7" s="1608" t="s">
        <v>891</v>
      </c>
      <c r="D7" s="1609"/>
    </row>
    <row r="8" spans="1:4" x14ac:dyDescent="0.2">
      <c r="A8" s="1478" t="s">
        <v>1609</v>
      </c>
      <c r="B8" s="1479" t="s">
        <v>546</v>
      </c>
      <c r="C8" s="1479" t="s">
        <v>892</v>
      </c>
      <c r="D8" s="1392"/>
    </row>
    <row r="9" spans="1:4" x14ac:dyDescent="0.2">
      <c r="A9" s="1478" t="s">
        <v>1610</v>
      </c>
      <c r="B9" s="1479" t="s">
        <v>1059</v>
      </c>
      <c r="C9" s="1391"/>
      <c r="D9" s="1392"/>
    </row>
    <row r="10" spans="1:4" x14ac:dyDescent="0.2">
      <c r="A10" s="1478" t="s">
        <v>317</v>
      </c>
      <c r="B10" s="1479" t="s">
        <v>318</v>
      </c>
      <c r="C10" s="1391"/>
      <c r="D10" s="1392"/>
    </row>
    <row r="11" spans="1:4" x14ac:dyDescent="0.2">
      <c r="A11" s="1478" t="s">
        <v>669</v>
      </c>
      <c r="B11" s="1479" t="s">
        <v>670</v>
      </c>
      <c r="C11" s="1391"/>
      <c r="D11" s="1392"/>
    </row>
    <row r="12" spans="1:4" x14ac:dyDescent="0.2">
      <c r="A12" s="1478" t="s">
        <v>1611</v>
      </c>
      <c r="B12" s="1479" t="s">
        <v>464</v>
      </c>
      <c r="C12" s="1391"/>
      <c r="D12" s="1392"/>
    </row>
    <row r="13" spans="1:4" x14ac:dyDescent="0.2">
      <c r="A13" s="1478" t="s">
        <v>1612</v>
      </c>
      <c r="B13" s="1479" t="s">
        <v>1791</v>
      </c>
      <c r="C13" s="1391"/>
      <c r="D13" s="1392"/>
    </row>
    <row r="14" spans="1:4" x14ac:dyDescent="0.2">
      <c r="A14" s="1478" t="s">
        <v>1613</v>
      </c>
      <c r="B14" s="1479" t="s">
        <v>1792</v>
      </c>
      <c r="C14" s="1391"/>
      <c r="D14" s="1392"/>
    </row>
    <row r="15" spans="1:4" x14ac:dyDescent="0.2">
      <c r="A15" s="1606" t="s">
        <v>1614</v>
      </c>
      <c r="B15" s="1608" t="str">
        <f>HLOOKUP(MTREF,Headings,8)</f>
        <v>Budget Year 2013/14</v>
      </c>
      <c r="C15" s="1608" t="s">
        <v>893</v>
      </c>
      <c r="D15" s="1480" t="s">
        <v>1694</v>
      </c>
    </row>
    <row r="16" spans="1:4" x14ac:dyDescent="0.2">
      <c r="A16" s="1606" t="s">
        <v>1615</v>
      </c>
      <c r="B16" s="1608" t="str">
        <f>HLOOKUP(MTREF,Headings,9)</f>
        <v>Budget Year +1 2014/15</v>
      </c>
      <c r="C16" s="1608" t="s">
        <v>894</v>
      </c>
      <c r="D16" s="1480" t="s">
        <v>1695</v>
      </c>
    </row>
    <row r="17" spans="1:4" x14ac:dyDescent="0.2">
      <c r="A17" s="1606" t="s">
        <v>1620</v>
      </c>
      <c r="B17" s="1608" t="str">
        <f>HLOOKUP(MTREF,Headings,10)</f>
        <v>Budget Year +2 2015/16</v>
      </c>
      <c r="C17" s="1608" t="s">
        <v>895</v>
      </c>
      <c r="D17" s="1480" t="s">
        <v>1696</v>
      </c>
    </row>
    <row r="18" spans="1:4" x14ac:dyDescent="0.2">
      <c r="A18" s="1606" t="s">
        <v>1622</v>
      </c>
      <c r="B18" s="1608" t="str">
        <f>HLOOKUP(MTREF,Headings,11)</f>
        <v>Forecast 2016/17</v>
      </c>
      <c r="C18" s="1608" t="s">
        <v>1101</v>
      </c>
      <c r="D18" s="1480" t="s">
        <v>1697</v>
      </c>
    </row>
    <row r="19" spans="1:4" x14ac:dyDescent="0.2">
      <c r="A19" s="1606" t="s">
        <v>1623</v>
      </c>
      <c r="B19" s="1608" t="str">
        <f>HLOOKUP(MTREF,Headings,12)</f>
        <v>Forecast 2017/18</v>
      </c>
      <c r="C19" s="1608" t="s">
        <v>1102</v>
      </c>
      <c r="D19" s="1480" t="s">
        <v>1698</v>
      </c>
    </row>
    <row r="20" spans="1:4" x14ac:dyDescent="0.2">
      <c r="A20" s="1606" t="s">
        <v>1624</v>
      </c>
      <c r="B20" s="1608" t="str">
        <f>HLOOKUP(MTREF,Headings,13)</f>
        <v>Forecast 2018/19</v>
      </c>
      <c r="C20" s="1608" t="s">
        <v>1102</v>
      </c>
      <c r="D20" s="1480" t="s">
        <v>1699</v>
      </c>
    </row>
    <row r="21" spans="1:4" x14ac:dyDescent="0.2">
      <c r="A21" s="1606" t="s">
        <v>1625</v>
      </c>
      <c r="B21" s="1608" t="str">
        <f>HLOOKUP(MTREF,Headings,14)</f>
        <v>Forecast 2019/20</v>
      </c>
      <c r="C21" s="1608" t="s">
        <v>1102</v>
      </c>
      <c r="D21" s="1480" t="s">
        <v>1700</v>
      </c>
    </row>
    <row r="22" spans="1:4" x14ac:dyDescent="0.2">
      <c r="A22" s="1606" t="s">
        <v>1626</v>
      </c>
      <c r="B22" s="1608" t="str">
        <f>HLOOKUP(MTREF,Headings,15)</f>
        <v>Forecast 2020/21</v>
      </c>
      <c r="C22" s="1608" t="s">
        <v>1102</v>
      </c>
      <c r="D22" s="1480" t="s">
        <v>1701</v>
      </c>
    </row>
    <row r="23" spans="1:4" x14ac:dyDescent="0.2">
      <c r="A23" s="1606" t="s">
        <v>1627</v>
      </c>
      <c r="B23" s="1608" t="str">
        <f>HLOOKUP(MTREF,Headings,16)</f>
        <v>Forecast 2021/22</v>
      </c>
      <c r="C23" s="1608" t="s">
        <v>1102</v>
      </c>
      <c r="D23" s="1480" t="s">
        <v>1702</v>
      </c>
    </row>
    <row r="24" spans="1:4" x14ac:dyDescent="0.2">
      <c r="A24" s="1606" t="s">
        <v>1628</v>
      </c>
      <c r="B24" s="1608" t="str">
        <f>HLOOKUP(MTREF,Headings,17)</f>
        <v>Forecast 2022/23</v>
      </c>
      <c r="C24" s="1608" t="s">
        <v>1102</v>
      </c>
      <c r="D24" s="1480" t="s">
        <v>653</v>
      </c>
    </row>
    <row r="25" spans="1:4" x14ac:dyDescent="0.2">
      <c r="A25" s="1606" t="s">
        <v>1629</v>
      </c>
      <c r="B25" s="1608" t="str">
        <f>HLOOKUP(MTREF,Headings,18)</f>
        <v>Forecast 2023/24</v>
      </c>
      <c r="C25" s="1608" t="s">
        <v>1102</v>
      </c>
      <c r="D25" s="1480" t="s">
        <v>654</v>
      </c>
    </row>
    <row r="26" spans="1:4" x14ac:dyDescent="0.2">
      <c r="A26" s="1606" t="s">
        <v>1630</v>
      </c>
      <c r="B26" s="1608" t="str">
        <f>HLOOKUP(MTREF,Headings,19)</f>
        <v>Forecast 2024/25</v>
      </c>
      <c r="C26" s="1608" t="s">
        <v>1102</v>
      </c>
      <c r="D26" s="1480" t="s">
        <v>655</v>
      </c>
    </row>
    <row r="27" spans="1:4" x14ac:dyDescent="0.2">
      <c r="A27" s="1606" t="s">
        <v>1631</v>
      </c>
      <c r="B27" s="1608" t="str">
        <f>HLOOKUP(MTREF,Headings,20)</f>
        <v>Forecast 2025/26</v>
      </c>
      <c r="C27" s="1608" t="s">
        <v>1102</v>
      </c>
      <c r="D27" s="1480" t="s">
        <v>656</v>
      </c>
    </row>
    <row r="28" spans="1:4" x14ac:dyDescent="0.2">
      <c r="A28" s="1606" t="s">
        <v>1632</v>
      </c>
      <c r="B28" s="1608" t="str">
        <f>HLOOKUP(MTREF,Headings,21)</f>
        <v>Forecast 2026/27</v>
      </c>
      <c r="C28" s="1608" t="s">
        <v>1102</v>
      </c>
      <c r="D28" s="1480" t="s">
        <v>657</v>
      </c>
    </row>
    <row r="29" spans="1:4" x14ac:dyDescent="0.2">
      <c r="A29" s="1606" t="s">
        <v>1633</v>
      </c>
      <c r="B29" s="1608" t="str">
        <f>HLOOKUP(MTREF,Headings,22)</f>
        <v>Forecast 2027/28</v>
      </c>
      <c r="C29" s="1608" t="s">
        <v>1102</v>
      </c>
      <c r="D29" s="1480" t="s">
        <v>658</v>
      </c>
    </row>
    <row r="30" spans="1:4" x14ac:dyDescent="0.2">
      <c r="A30" s="1478" t="s">
        <v>1082</v>
      </c>
      <c r="B30" s="1479" t="s">
        <v>773</v>
      </c>
      <c r="C30" s="1391"/>
      <c r="D30" s="1393"/>
    </row>
    <row r="31" spans="1:4" x14ac:dyDescent="0.2">
      <c r="A31" s="1478" t="s">
        <v>1022</v>
      </c>
      <c r="B31" s="1391"/>
      <c r="C31" s="1391"/>
      <c r="D31" s="1393"/>
    </row>
    <row r="32" spans="1:4" x14ac:dyDescent="0.2">
      <c r="A32" s="1478" t="s">
        <v>806</v>
      </c>
      <c r="B32" s="1479" t="s">
        <v>807</v>
      </c>
      <c r="C32" s="1391"/>
      <c r="D32" s="1393"/>
    </row>
    <row r="33" spans="1:4" x14ac:dyDescent="0.2">
      <c r="A33" s="1478" t="s">
        <v>808</v>
      </c>
      <c r="B33" s="1479" t="s">
        <v>426</v>
      </c>
      <c r="C33" s="1391"/>
      <c r="D33" s="1393"/>
    </row>
    <row r="34" spans="1:4" x14ac:dyDescent="0.2">
      <c r="A34" s="1478" t="s">
        <v>980</v>
      </c>
      <c r="B34" s="1479" t="s">
        <v>981</v>
      </c>
      <c r="C34" s="1391"/>
      <c r="D34" s="1393"/>
    </row>
    <row r="35" spans="1:4" x14ac:dyDescent="0.2">
      <c r="A35" s="1478" t="s">
        <v>921</v>
      </c>
      <c r="B35" s="1479" t="s">
        <v>896</v>
      </c>
      <c r="C35" s="1391"/>
      <c r="D35" s="1480" t="s">
        <v>922</v>
      </c>
    </row>
    <row r="36" spans="1:4" x14ac:dyDescent="0.2">
      <c r="A36" s="1606" t="s">
        <v>1722</v>
      </c>
      <c r="B36" s="1608" t="str">
        <f>HLOOKUP(MTREF,Headings,23)</f>
        <v>Annual target 2013/14</v>
      </c>
      <c r="C36" s="1608"/>
      <c r="D36" s="1393"/>
    </row>
    <row r="37" spans="1:4" x14ac:dyDescent="0.2">
      <c r="A37" s="1606" t="s">
        <v>1723</v>
      </c>
      <c r="B37" s="1608" t="str">
        <f>HLOOKUP(MTREF,Headings,24)</f>
        <v>Revised target 2013/14</v>
      </c>
      <c r="C37" s="1608"/>
      <c r="D37" s="1393"/>
    </row>
    <row r="38" spans="1:4" x14ac:dyDescent="0.2">
      <c r="A38" s="1478" t="s">
        <v>1724</v>
      </c>
      <c r="B38" s="1479" t="s">
        <v>641</v>
      </c>
      <c r="C38" s="1391"/>
      <c r="D38" s="1393"/>
    </row>
    <row r="39" spans="1:4" x14ac:dyDescent="0.2">
      <c r="A39" s="1478" t="s">
        <v>1725</v>
      </c>
      <c r="B39" s="1479" t="s">
        <v>642</v>
      </c>
      <c r="C39" s="1391"/>
      <c r="D39" s="1393"/>
    </row>
    <row r="40" spans="1:4" x14ac:dyDescent="0.2">
      <c r="A40" s="1478" t="s">
        <v>1726</v>
      </c>
      <c r="B40" s="1479" t="s">
        <v>643</v>
      </c>
      <c r="C40" s="1391"/>
      <c r="D40" s="1393"/>
    </row>
    <row r="41" spans="1:4" x14ac:dyDescent="0.2">
      <c r="A41" s="1478" t="s">
        <v>1727</v>
      </c>
      <c r="B41" s="1479" t="s">
        <v>639</v>
      </c>
      <c r="C41" s="1391"/>
      <c r="D41" s="1393"/>
    </row>
    <row r="42" spans="1:4" x14ac:dyDescent="0.2">
      <c r="A42" s="1478" t="s">
        <v>640</v>
      </c>
      <c r="B42" s="1479" t="s">
        <v>1501</v>
      </c>
      <c r="C42" s="1391"/>
      <c r="D42" s="1393"/>
    </row>
    <row r="43" spans="1:4" x14ac:dyDescent="0.2">
      <c r="A43" s="1478" t="s">
        <v>350</v>
      </c>
      <c r="B43" s="1479" t="s">
        <v>775</v>
      </c>
      <c r="C43" s="1391"/>
      <c r="D43" s="1393"/>
    </row>
    <row r="44" spans="1:4" x14ac:dyDescent="0.2">
      <c r="A44" s="1478" t="s">
        <v>351</v>
      </c>
      <c r="B44" s="1479" t="s">
        <v>776</v>
      </c>
      <c r="C44" s="1391"/>
      <c r="D44" s="1393"/>
    </row>
    <row r="45" spans="1:4" x14ac:dyDescent="0.2">
      <c r="A45" s="1478" t="s">
        <v>352</v>
      </c>
      <c r="B45" s="1479" t="s">
        <v>1295</v>
      </c>
      <c r="C45" s="1391"/>
      <c r="D45" s="1393"/>
    </row>
    <row r="46" spans="1:4" x14ac:dyDescent="0.2">
      <c r="A46" s="1478" t="s">
        <v>1294</v>
      </c>
      <c r="B46" s="1479" t="s">
        <v>1348</v>
      </c>
      <c r="C46" s="1391"/>
      <c r="D46" s="1393"/>
    </row>
    <row r="47" spans="1:4" x14ac:dyDescent="0.2">
      <c r="A47" s="1478" t="s">
        <v>1296</v>
      </c>
      <c r="B47" s="1481" t="s">
        <v>98</v>
      </c>
      <c r="C47" s="1391"/>
      <c r="D47" s="1393"/>
    </row>
    <row r="48" spans="1:4" x14ac:dyDescent="0.2">
      <c r="A48" s="1478" t="s">
        <v>1297</v>
      </c>
      <c r="B48" s="1481" t="s">
        <v>100</v>
      </c>
      <c r="C48" s="1391"/>
      <c r="D48" s="1393"/>
    </row>
    <row r="49" spans="1:4" x14ac:dyDescent="0.2">
      <c r="A49" s="1478" t="s">
        <v>1298</v>
      </c>
      <c r="B49" s="1481" t="s">
        <v>1205</v>
      </c>
      <c r="C49" s="1391"/>
      <c r="D49" s="1393"/>
    </row>
    <row r="50" spans="1:4" x14ac:dyDescent="0.2">
      <c r="A50" s="1478" t="s">
        <v>99</v>
      </c>
      <c r="B50" s="1481" t="str">
        <f>Head3&amp;" Summary"</f>
        <v>2013/14 Medium Term Revenue &amp; Expenditure Framework Summary</v>
      </c>
      <c r="C50" s="1391"/>
      <c r="D50" s="1393"/>
    </row>
    <row r="51" spans="1:4" x14ac:dyDescent="0.2">
      <c r="A51" s="1478" t="s">
        <v>645</v>
      </c>
      <c r="B51" s="1481" t="s">
        <v>648</v>
      </c>
      <c r="C51" s="1391"/>
      <c r="D51" s="1393"/>
    </row>
    <row r="52" spans="1:4" x14ac:dyDescent="0.2">
      <c r="A52" s="1478" t="s">
        <v>646</v>
      </c>
      <c r="B52" s="1481" t="s">
        <v>647</v>
      </c>
      <c r="C52" s="1391"/>
      <c r="D52" s="1393"/>
    </row>
    <row r="53" spans="1:4" x14ac:dyDescent="0.2">
      <c r="A53" s="1478" t="s">
        <v>1525</v>
      </c>
      <c r="B53" s="1482" t="s">
        <v>1526</v>
      </c>
      <c r="C53" s="1395"/>
      <c r="D53" s="1393"/>
    </row>
    <row r="54" spans="1:4" x14ac:dyDescent="0.2">
      <c r="A54" s="1478" t="s">
        <v>975</v>
      </c>
      <c r="B54" s="1481" t="s">
        <v>1642</v>
      </c>
      <c r="C54" s="1391"/>
      <c r="D54" s="1393"/>
    </row>
    <row r="55" spans="1:4" x14ac:dyDescent="0.2">
      <c r="A55" s="1478" t="s">
        <v>396</v>
      </c>
      <c r="B55" s="1481" t="s">
        <v>877</v>
      </c>
      <c r="C55" s="1391"/>
      <c r="D55" s="1393"/>
    </row>
    <row r="56" spans="1:4" x14ac:dyDescent="0.2">
      <c r="A56" s="1478" t="s">
        <v>1355</v>
      </c>
      <c r="B56" s="1394"/>
      <c r="C56" s="1391"/>
      <c r="D56" s="1393"/>
    </row>
    <row r="57" spans="1:4" x14ac:dyDescent="0.2">
      <c r="A57" s="1478" t="s">
        <v>1356</v>
      </c>
      <c r="B57" s="1481" t="s">
        <v>595</v>
      </c>
      <c r="C57" s="1391"/>
      <c r="D57" s="1393"/>
    </row>
    <row r="58" spans="1:4" x14ac:dyDescent="0.2">
      <c r="A58" s="1478" t="s">
        <v>590</v>
      </c>
      <c r="B58" s="1481" t="s">
        <v>594</v>
      </c>
      <c r="C58" s="1391"/>
      <c r="D58" s="1393"/>
    </row>
    <row r="59" spans="1:4" x14ac:dyDescent="0.2">
      <c r="A59" s="1478" t="s">
        <v>591</v>
      </c>
      <c r="B59" s="1481" t="s">
        <v>463</v>
      </c>
      <c r="C59" s="1391"/>
      <c r="D59" s="1393"/>
    </row>
    <row r="60" spans="1:4" x14ac:dyDescent="0.2">
      <c r="A60" s="1478" t="s">
        <v>592</v>
      </c>
      <c r="B60" s="1481" t="s">
        <v>596</v>
      </c>
      <c r="C60" s="1391"/>
      <c r="D60" s="1393"/>
    </row>
    <row r="61" spans="1:4" x14ac:dyDescent="0.2">
      <c r="A61" s="1478" t="s">
        <v>593</v>
      </c>
      <c r="B61" s="1481" t="s">
        <v>469</v>
      </c>
      <c r="C61" s="1391"/>
      <c r="D61" s="1393"/>
    </row>
    <row r="62" spans="1:4" x14ac:dyDescent="0.2">
      <c r="A62" s="1478" t="s">
        <v>1488</v>
      </c>
      <c r="B62" s="1481" t="s">
        <v>462</v>
      </c>
      <c r="C62" s="1391"/>
      <c r="D62" s="1393"/>
    </row>
    <row r="63" spans="1:4" x14ac:dyDescent="0.2">
      <c r="A63" s="1478" t="s">
        <v>1662</v>
      </c>
      <c r="B63" s="1481" t="s">
        <v>1663</v>
      </c>
      <c r="C63" s="1391"/>
      <c r="D63" s="1393"/>
    </row>
    <row r="64" spans="1:4" x14ac:dyDescent="0.2">
      <c r="A64" s="1478" t="s">
        <v>483</v>
      </c>
      <c r="B64" s="1481" t="s">
        <v>481</v>
      </c>
      <c r="C64" s="1391"/>
      <c r="D64" s="1393"/>
    </row>
    <row r="65" spans="1:4" x14ac:dyDescent="0.2">
      <c r="A65" s="1478" t="s">
        <v>484</v>
      </c>
      <c r="B65" s="1481" t="s">
        <v>482</v>
      </c>
      <c r="C65" s="1391"/>
      <c r="D65" s="1393"/>
    </row>
    <row r="66" spans="1:4" x14ac:dyDescent="0.2">
      <c r="A66" s="1478" t="s">
        <v>485</v>
      </c>
      <c r="B66" s="1481" t="s">
        <v>487</v>
      </c>
      <c r="C66" s="1391"/>
      <c r="D66" s="1393"/>
    </row>
    <row r="67" spans="1:4" x14ac:dyDescent="0.2">
      <c r="A67" s="1478" t="s">
        <v>486</v>
      </c>
      <c r="B67" s="1481" t="s">
        <v>801</v>
      </c>
      <c r="C67" s="1391"/>
      <c r="D67" s="1393"/>
    </row>
    <row r="68" spans="1:4" x14ac:dyDescent="0.2">
      <c r="A68" s="1478" t="s">
        <v>802</v>
      </c>
      <c r="B68" s="1481" t="s">
        <v>930</v>
      </c>
      <c r="C68" s="1391"/>
      <c r="D68" s="1393"/>
    </row>
    <row r="69" spans="1:4" x14ac:dyDescent="0.2">
      <c r="A69" s="1478" t="s">
        <v>803</v>
      </c>
      <c r="B69" s="1481" t="s">
        <v>1257</v>
      </c>
      <c r="C69" s="1391"/>
      <c r="D69" s="1393"/>
    </row>
    <row r="70" spans="1:4" x14ac:dyDescent="0.2">
      <c r="A70" s="1478" t="s">
        <v>1465</v>
      </c>
      <c r="B70" s="1481" t="s">
        <v>1464</v>
      </c>
      <c r="C70" s="1391"/>
      <c r="D70" s="1393"/>
    </row>
    <row r="71" spans="1:4" x14ac:dyDescent="0.2">
      <c r="A71" s="1478" t="s">
        <v>1466</v>
      </c>
      <c r="B71" s="1481" t="s">
        <v>1244</v>
      </c>
      <c r="C71" s="1391"/>
      <c r="D71" s="1480" t="s">
        <v>1731</v>
      </c>
    </row>
    <row r="72" spans="1:4" x14ac:dyDescent="0.2">
      <c r="A72" s="1478" t="s">
        <v>1467</v>
      </c>
      <c r="B72" s="1481" t="s">
        <v>1245</v>
      </c>
      <c r="C72" s="1391"/>
      <c r="D72" s="1480" t="s">
        <v>1732</v>
      </c>
    </row>
    <row r="73" spans="1:4" x14ac:dyDescent="0.2">
      <c r="A73" s="1478" t="s">
        <v>1468</v>
      </c>
      <c r="B73" s="1481" t="s">
        <v>1246</v>
      </c>
      <c r="C73" s="1391"/>
      <c r="D73" s="1480" t="s">
        <v>1733</v>
      </c>
    </row>
    <row r="74" spans="1:4" x14ac:dyDescent="0.2">
      <c r="A74" s="1478" t="s">
        <v>1469</v>
      </c>
      <c r="B74" s="1481" t="s">
        <v>1247</v>
      </c>
      <c r="C74" s="1391"/>
      <c r="D74" s="1480" t="s">
        <v>1734</v>
      </c>
    </row>
    <row r="75" spans="1:4" x14ac:dyDescent="0.2">
      <c r="A75" s="1478" t="s">
        <v>1470</v>
      </c>
      <c r="B75" s="1481" t="s">
        <v>1248</v>
      </c>
      <c r="C75" s="1391"/>
      <c r="D75" s="1480" t="s">
        <v>1735</v>
      </c>
    </row>
    <row r="76" spans="1:4" x14ac:dyDescent="0.2">
      <c r="A76" s="1478" t="s">
        <v>1303</v>
      </c>
      <c r="B76" s="1481" t="s">
        <v>1249</v>
      </c>
      <c r="C76" s="1391"/>
      <c r="D76" s="1480" t="s">
        <v>1736</v>
      </c>
    </row>
    <row r="77" spans="1:4" x14ac:dyDescent="0.2">
      <c r="A77" s="1478" t="s">
        <v>1304</v>
      </c>
      <c r="B77" s="1481" t="s">
        <v>1250</v>
      </c>
      <c r="C77" s="1391"/>
      <c r="D77" s="1480" t="s">
        <v>1737</v>
      </c>
    </row>
    <row r="78" spans="1:4" x14ac:dyDescent="0.2">
      <c r="A78" s="1478" t="s">
        <v>1305</v>
      </c>
      <c r="B78" s="1481" t="s">
        <v>1251</v>
      </c>
      <c r="C78" s="1391"/>
      <c r="D78" s="1480" t="s">
        <v>1738</v>
      </c>
    </row>
    <row r="79" spans="1:4" x14ac:dyDescent="0.2">
      <c r="A79" s="1478" t="s">
        <v>1306</v>
      </c>
      <c r="B79" s="1481" t="s">
        <v>1252</v>
      </c>
      <c r="C79" s="1391"/>
      <c r="D79" s="1480" t="s">
        <v>1739</v>
      </c>
    </row>
    <row r="80" spans="1:4" x14ac:dyDescent="0.2">
      <c r="A80" s="1478" t="s">
        <v>1307</v>
      </c>
      <c r="B80" s="1481" t="s">
        <v>1050</v>
      </c>
      <c r="C80" s="1391"/>
      <c r="D80" s="1480" t="s">
        <v>1315</v>
      </c>
    </row>
    <row r="81" spans="1:4" x14ac:dyDescent="0.2">
      <c r="A81" s="1478" t="s">
        <v>1308</v>
      </c>
      <c r="B81" s="1481" t="s">
        <v>1051</v>
      </c>
      <c r="C81" s="1391"/>
      <c r="D81" s="1480" t="s">
        <v>1316</v>
      </c>
    </row>
    <row r="82" spans="1:4" x14ac:dyDescent="0.2">
      <c r="A82" s="1478" t="s">
        <v>1309</v>
      </c>
      <c r="B82" s="1481" t="s">
        <v>1052</v>
      </c>
      <c r="C82" s="1391"/>
      <c r="D82" s="1480" t="s">
        <v>1317</v>
      </c>
    </row>
    <row r="83" spans="1:4" x14ac:dyDescent="0.2">
      <c r="A83" s="1478" t="s">
        <v>1310</v>
      </c>
      <c r="B83" s="1481" t="s">
        <v>1053</v>
      </c>
      <c r="C83" s="1391"/>
      <c r="D83" s="1480" t="s">
        <v>1318</v>
      </c>
    </row>
    <row r="84" spans="1:4" x14ac:dyDescent="0.2">
      <c r="A84" s="1478" t="s">
        <v>1730</v>
      </c>
      <c r="B84" s="1481" t="s">
        <v>1806</v>
      </c>
      <c r="C84" s="1391"/>
      <c r="D84" s="1480" t="s">
        <v>1319</v>
      </c>
    </row>
    <row r="85" spans="1:4" x14ac:dyDescent="0.2">
      <c r="A85" s="1396"/>
      <c r="B85" s="1397"/>
      <c r="C85" s="1398"/>
      <c r="D85" s="1399"/>
    </row>
    <row r="86" spans="1:4" x14ac:dyDescent="0.2">
      <c r="A86" s="1400"/>
      <c r="B86" s="1398"/>
      <c r="C86" s="1391"/>
      <c r="D86" s="1401"/>
    </row>
    <row r="87" spans="1:4" ht="10.5" x14ac:dyDescent="0.25">
      <c r="A87" s="2645" t="s">
        <v>1094</v>
      </c>
      <c r="B87" s="2646"/>
      <c r="C87" s="1402"/>
    </row>
    <row r="88" spans="1:4" x14ac:dyDescent="0.2">
      <c r="A88" s="1483" t="s">
        <v>493</v>
      </c>
      <c r="B88" s="1484" t="s">
        <v>494</v>
      </c>
      <c r="C88" s="1391"/>
    </row>
    <row r="89" spans="1:4" x14ac:dyDescent="0.2">
      <c r="A89" s="1404"/>
      <c r="B89" s="1485" t="s">
        <v>718</v>
      </c>
      <c r="C89" s="1391"/>
    </row>
    <row r="90" spans="1:4" x14ac:dyDescent="0.2">
      <c r="A90" s="1400"/>
      <c r="B90" s="1486" t="s">
        <v>719</v>
      </c>
      <c r="C90" s="1391"/>
    </row>
    <row r="92" spans="1:4" ht="10.5" x14ac:dyDescent="0.25">
      <c r="A92" s="2645" t="s">
        <v>431</v>
      </c>
      <c r="B92" s="2651"/>
      <c r="C92" s="2651"/>
      <c r="D92" s="2646"/>
    </row>
    <row r="93" spans="1:4" x14ac:dyDescent="0.2">
      <c r="A93" s="1610" t="s">
        <v>804</v>
      </c>
      <c r="B93" s="1611" t="str">
        <f>'Lookup and lists'!B28</f>
        <v>KZN225 Msunduzi</v>
      </c>
      <c r="C93" s="1612"/>
      <c r="D93" s="1389"/>
    </row>
    <row r="94" spans="1:4" x14ac:dyDescent="0.2">
      <c r="A94" s="1610" t="s">
        <v>885</v>
      </c>
      <c r="B94" s="1613">
        <v>1</v>
      </c>
      <c r="C94" s="1612" t="s">
        <v>886</v>
      </c>
      <c r="D94" s="1487">
        <v>2</v>
      </c>
    </row>
    <row r="95" spans="1:4" ht="10.5" x14ac:dyDescent="0.25">
      <c r="A95" s="1488" t="str">
        <f>IF((MuniEntities=1)*(MuniType=2),"YES","NO")</f>
        <v>YES</v>
      </c>
      <c r="B95" s="1179" t="s">
        <v>1025</v>
      </c>
      <c r="D95" s="1389"/>
    </row>
    <row r="96" spans="1:4" x14ac:dyDescent="0.2">
      <c r="A96" s="1487" t="s">
        <v>1661</v>
      </c>
      <c r="B96" s="1179" t="s">
        <v>1461</v>
      </c>
      <c r="D96" s="1487" t="s">
        <v>1516</v>
      </c>
    </row>
    <row r="97" spans="1:6" x14ac:dyDescent="0.2">
      <c r="A97" s="1487" t="s">
        <v>1258</v>
      </c>
      <c r="B97" s="1179" t="s">
        <v>1462</v>
      </c>
      <c r="D97" s="1487" t="s">
        <v>1260</v>
      </c>
    </row>
    <row r="98" spans="1:6" x14ac:dyDescent="0.2">
      <c r="A98" s="1487" t="s">
        <v>1259</v>
      </c>
      <c r="B98" s="1179" t="s">
        <v>1463</v>
      </c>
      <c r="D98" s="1487" t="s">
        <v>1261</v>
      </c>
    </row>
    <row r="99" spans="1:6" ht="10.5" x14ac:dyDescent="0.25">
      <c r="A99" s="2649" t="s">
        <v>1095</v>
      </c>
      <c r="B99" s="2650"/>
      <c r="C99" s="1489" t="s">
        <v>1353</v>
      </c>
      <c r="D99" s="1490" t="s">
        <v>1352</v>
      </c>
      <c r="E99" s="1489" t="s">
        <v>1325</v>
      </c>
      <c r="F99" s="1490" t="s">
        <v>1325</v>
      </c>
    </row>
    <row r="100" spans="1:6" x14ac:dyDescent="0.2">
      <c r="A100" s="1404"/>
      <c r="B100" s="1491" t="str">
        <f t="shared" ref="B100:B109" si="0">IF(Consolques="YES",E100,F100)</f>
        <v>Table A1 Consolidated Budget Summary</v>
      </c>
      <c r="C100" s="1403"/>
      <c r="D100" s="1478" t="s">
        <v>1817</v>
      </c>
      <c r="E100" s="1179" t="str">
        <f>D100&amp;"Consolidated Budget Summary"</f>
        <v>Table A1 Consolidated Budget Summary</v>
      </c>
      <c r="F100" s="1179" t="str">
        <f>D100&amp;"Budget Summary"</f>
        <v>Table A1 Budget Summary</v>
      </c>
    </row>
    <row r="101" spans="1:6" x14ac:dyDescent="0.2">
      <c r="A101" s="1404"/>
      <c r="B101" s="1491" t="str">
        <f t="shared" si="0"/>
        <v>Table A2 Consolidated Budgeted Financial Performance (revenue and expenditure by standard classification)</v>
      </c>
      <c r="C101" s="1485" t="s">
        <v>636</v>
      </c>
      <c r="D101" s="1478" t="s">
        <v>1818</v>
      </c>
      <c r="E101" s="1179" t="str">
        <f>D101&amp;"Consolidated Budgeted Financial Performance (revenue and expenditure by standard classification)"</f>
        <v>Table A2 Consolidated Budgeted Financial Performance (revenue and expenditure by standard classification)</v>
      </c>
      <c r="F101" s="1179" t="str">
        <f>D101&amp;"Budgeted Financial Performance (revenue and expenditure by standard classification)"</f>
        <v>Table A2 Budgeted Financial Performance (revenue and expenditure by standard classification)</v>
      </c>
    </row>
    <row r="102" spans="1:6" x14ac:dyDescent="0.2">
      <c r="A102" s="1404"/>
      <c r="B102" s="1491" t="str">
        <f t="shared" si="0"/>
        <v>Table A3 Consolidated Budgeted Financial Performance (revenue and expenditure by municipal vote)</v>
      </c>
      <c r="C102" s="1392"/>
      <c r="D102" s="1478" t="s">
        <v>1819</v>
      </c>
      <c r="E102" s="1179" t="str">
        <f>D102&amp;"Consolidated Budgeted Financial Performance (revenue and expenditure by municipal vote)"</f>
        <v>Table A3 Consolidated Budgeted Financial Performance (revenue and expenditure by municipal vote)</v>
      </c>
      <c r="F102" s="1179" t="str">
        <f>D102&amp;"Budgeted Financial Performance (revenue and expenditure by municipal vote)"</f>
        <v>Table A3 Budgeted Financial Performance (revenue and expenditure by municipal vote)</v>
      </c>
    </row>
    <row r="103" spans="1:6" x14ac:dyDescent="0.2">
      <c r="A103" s="1404"/>
      <c r="B103" s="1491" t="str">
        <f t="shared" si="0"/>
        <v>Table A4 Consolidated Budgeted Financial Performance (revenue and expenditure)</v>
      </c>
      <c r="C103" s="1485" t="s">
        <v>635</v>
      </c>
      <c r="D103" s="1478" t="s">
        <v>1820</v>
      </c>
      <c r="E103" s="1179" t="str">
        <f>D103&amp;"Consolidated Budgeted Financial Performance (revenue and expenditure)"</f>
        <v>Table A4 Consolidated Budgeted Financial Performance (revenue and expenditure)</v>
      </c>
      <c r="F103" s="1179" t="str">
        <f>D103&amp;"Budgeted Financial Performance (revenue and expenditure)"</f>
        <v>Table A4 Budgeted Financial Performance (revenue and expenditure)</v>
      </c>
    </row>
    <row r="104" spans="1:6" x14ac:dyDescent="0.2">
      <c r="A104" s="1404"/>
      <c r="B104" s="1479" t="str">
        <f t="shared" si="0"/>
        <v>Table A5 Consolidated Budgeted Capital Expenditure by vote, standard classification and funding</v>
      </c>
      <c r="C104" s="1485" t="s">
        <v>638</v>
      </c>
      <c r="D104" s="1478" t="s">
        <v>1821</v>
      </c>
      <c r="E104" s="1179" t="str">
        <f>D104&amp;"Consolidated Budgeted Capital Expenditure by vote, standard classification and funding"</f>
        <v>Table A5 Consolidated Budgeted Capital Expenditure by vote, standard classification and funding</v>
      </c>
      <c r="F104" s="1179" t="str">
        <f>D104&amp;"Budgeted Capital Expenditure by vote, standard classification and funding"</f>
        <v>Table A5 Budgeted Capital Expenditure by vote, standard classification and funding</v>
      </c>
    </row>
    <row r="105" spans="1:6" x14ac:dyDescent="0.2">
      <c r="A105" s="1404"/>
      <c r="B105" s="1479" t="str">
        <f t="shared" si="0"/>
        <v>Table A6 Consolidated Budgeted Financial Position</v>
      </c>
      <c r="C105" s="1392"/>
      <c r="D105" s="1478" t="s">
        <v>1822</v>
      </c>
      <c r="E105" s="1179" t="str">
        <f>D105&amp;"Consolidated Budgeted Financial Position"</f>
        <v>Table A6 Consolidated Budgeted Financial Position</v>
      </c>
      <c r="F105" s="1179" t="str">
        <f>D105&amp;"Budgeted Financial Position"</f>
        <v>Table A6 Budgeted Financial Position</v>
      </c>
    </row>
    <row r="106" spans="1:6" x14ac:dyDescent="0.2">
      <c r="A106" s="1404"/>
      <c r="B106" s="1479" t="str">
        <f t="shared" si="0"/>
        <v>Table A7 Consolidated Budgeted Cash Flows</v>
      </c>
      <c r="C106" s="1392"/>
      <c r="D106" s="1478" t="s">
        <v>1823</v>
      </c>
      <c r="E106" s="1179" t="str">
        <f>D106&amp;"Consolidated Budgeted Cash Flows"</f>
        <v>Table A7 Consolidated Budgeted Cash Flows</v>
      </c>
      <c r="F106" s="1179" t="str">
        <f>D106&amp;"Budgeted Cash Flows"</f>
        <v>Table A7 Budgeted Cash Flows</v>
      </c>
    </row>
    <row r="107" spans="1:6" x14ac:dyDescent="0.2">
      <c r="A107" s="1404"/>
      <c r="B107" s="1479" t="str">
        <f t="shared" si="0"/>
        <v>Table A8 Consolidated Cash backed reserves/accumulated surplus reconciliation</v>
      </c>
      <c r="C107" s="1392"/>
      <c r="D107" s="1478" t="s">
        <v>1824</v>
      </c>
      <c r="E107" s="1492" t="str">
        <f>D107&amp;"Consolidated Cash backed reserves/accumulated surplus reconciliation"</f>
        <v>Table A8 Consolidated Cash backed reserves/accumulated surplus reconciliation</v>
      </c>
      <c r="F107" s="1492" t="str">
        <f>D107&amp;"Cash backed reserves/accumulated surplus reconciliation"</f>
        <v>Table A8 Cash backed reserves/accumulated surplus reconciliation</v>
      </c>
    </row>
    <row r="108" spans="1:6" x14ac:dyDescent="0.2">
      <c r="A108" s="1404"/>
      <c r="B108" s="1479" t="str">
        <f t="shared" si="0"/>
        <v>Table A9 Consolidated Asset Management</v>
      </c>
      <c r="C108" s="1392"/>
      <c r="D108" s="1478" t="s">
        <v>1825</v>
      </c>
      <c r="E108" s="1179" t="str">
        <f>D108&amp;"Consolidated Asset Management"</f>
        <v>Table A9 Consolidated Asset Management</v>
      </c>
      <c r="F108" s="1179" t="str">
        <f>D108&amp;"Asset Management"</f>
        <v>Table A9 Asset Management</v>
      </c>
    </row>
    <row r="109" spans="1:6" x14ac:dyDescent="0.2">
      <c r="A109" s="1404"/>
      <c r="B109" s="1493" t="str">
        <f t="shared" si="0"/>
        <v>Table A10 Consolidated basic service delivery measurement</v>
      </c>
      <c r="C109" s="1405"/>
      <c r="D109" s="1494" t="s">
        <v>1826</v>
      </c>
      <c r="E109" s="1179" t="str">
        <f>D109&amp;"Consolidated basic service delivery measurement"</f>
        <v>Table A10 Consolidated basic service delivery measurement</v>
      </c>
      <c r="F109" s="1179" t="str">
        <f>D109&amp;"Basic service delivery measurement"</f>
        <v>Table A10 Basic service delivery measurement</v>
      </c>
    </row>
    <row r="110" spans="1:6" ht="10.5" x14ac:dyDescent="0.25">
      <c r="A110" s="2647" t="s">
        <v>1374</v>
      </c>
      <c r="B110" s="2648"/>
      <c r="C110" s="1495" t="str">
        <f>$C$99</f>
        <v>Chart x-ref</v>
      </c>
      <c r="D110" s="1495" t="str">
        <f>$D$99</f>
        <v>Sch/Tab/Ch</v>
      </c>
    </row>
    <row r="111" spans="1:6" x14ac:dyDescent="0.2">
      <c r="A111" s="1496" t="s">
        <v>1375</v>
      </c>
      <c r="B111" s="1497" t="str">
        <f>A111&amp;" Supportinging detail to 'Budgeted Financial Performance'"</f>
        <v>Supporting Table SA1 Supportinging detail to 'Budgeted Financial Performance'</v>
      </c>
      <c r="C111" s="1406"/>
      <c r="D111" s="1406"/>
      <c r="E111" s="1391"/>
      <c r="F111" s="1391"/>
    </row>
    <row r="112" spans="1:6" x14ac:dyDescent="0.2">
      <c r="A112" s="1478" t="s">
        <v>1376</v>
      </c>
      <c r="B112" s="1479" t="str">
        <f>IF(Consolques="YES",E112,F112)</f>
        <v>Supporting Table SA2 Consolidated Matrix Financial Performance Budget (revenue source/expenditure type &amp; dept.)</v>
      </c>
      <c r="C112" s="1393"/>
      <c r="D112" s="1393"/>
      <c r="E112" s="1479" t="str">
        <f>A112&amp;"Consolidated Matrix Financial Performance Budget (revenue source/expenditure type &amp; dept.)"</f>
        <v>Supporting Table SA2 Consolidated Matrix Financial Performance Budget (revenue source/expenditure type &amp; dept.)</v>
      </c>
      <c r="F112" s="1479" t="str">
        <f>A112&amp;"Matrix Financial Performance Budget (revenue source/expenditure type and dept.)"</f>
        <v>Supporting Table SA2 Matrix Financial Performance Budget (revenue source/expenditure type and dept.)</v>
      </c>
    </row>
    <row r="113" spans="1:6" x14ac:dyDescent="0.2">
      <c r="A113" s="1478" t="s">
        <v>1377</v>
      </c>
      <c r="B113" s="1479" t="str">
        <f>A113&amp;"Supportinging detail to 'Budgeted Financial Position'"</f>
        <v>Supporting Table SA3 Supportinging detail to 'Budgeted Financial Position'</v>
      </c>
      <c r="C113" s="1393"/>
      <c r="D113" s="1393"/>
      <c r="E113" s="1391"/>
      <c r="F113" s="1391"/>
    </row>
    <row r="114" spans="1:6" x14ac:dyDescent="0.2">
      <c r="A114" s="1478" t="s">
        <v>1378</v>
      </c>
      <c r="B114" s="1479" t="str">
        <f>A114&amp;"Reconciliation of IDP strategic objectives and budget (revenue)"</f>
        <v>Supporting Table SA4 Reconciliation of IDP strategic objectives and budget (revenue)</v>
      </c>
      <c r="C114" s="1480" t="s">
        <v>1337</v>
      </c>
      <c r="D114" s="1393"/>
      <c r="E114" s="1391"/>
      <c r="F114" s="1391"/>
    </row>
    <row r="115" spans="1:6" x14ac:dyDescent="0.2">
      <c r="A115" s="1478" t="s">
        <v>41</v>
      </c>
      <c r="B115" s="1479" t="str">
        <f>A115&amp;"Reconciliation of IDP strategic objectives and budget (operating expenditure)"</f>
        <v>Supporting Table SA5 Reconciliation of IDP strategic objectives and budget (operating expenditure)</v>
      </c>
      <c r="C115" s="1480" t="s">
        <v>1338</v>
      </c>
      <c r="D115" s="1393"/>
      <c r="E115" s="1391"/>
      <c r="F115" s="1391"/>
    </row>
    <row r="116" spans="1:6" x14ac:dyDescent="0.2">
      <c r="A116" s="1478" t="s">
        <v>42</v>
      </c>
      <c r="B116" s="1479" t="str">
        <f>A116&amp;"Reconciliation of IDP strategic objectives and budget (capital expenditure)"</f>
        <v>Supporting Table SA6 Reconciliation of IDP strategic objectives and budget (capital expenditure)</v>
      </c>
      <c r="C116" s="1480" t="s">
        <v>1339</v>
      </c>
      <c r="D116" s="1393"/>
      <c r="E116" s="1391"/>
      <c r="F116" s="1391"/>
    </row>
    <row r="117" spans="1:6" x14ac:dyDescent="0.2">
      <c r="A117" s="1478" t="s">
        <v>43</v>
      </c>
      <c r="B117" s="1479" t="str">
        <f>A117&amp;" Measureable performance objectives"</f>
        <v>Supporting Table SA7 Measureable performance objectives</v>
      </c>
      <c r="C117" s="1393"/>
      <c r="D117" s="1393"/>
      <c r="E117" s="1391"/>
      <c r="F117" s="1391"/>
    </row>
    <row r="118" spans="1:6" x14ac:dyDescent="0.2">
      <c r="A118" s="1478" t="s">
        <v>44</v>
      </c>
      <c r="B118" s="1479" t="str">
        <f>A118&amp;" Performance indicators and benchmarks"</f>
        <v>Supporting Table SA8 Performance indicators and benchmarks</v>
      </c>
      <c r="C118" s="1480" t="s">
        <v>637</v>
      </c>
      <c r="D118" s="1393"/>
      <c r="E118" s="1391"/>
      <c r="F118" s="1391"/>
    </row>
    <row r="119" spans="1:6" x14ac:dyDescent="0.2">
      <c r="A119" s="1478" t="s">
        <v>45</v>
      </c>
      <c r="B119" s="1479" t="str">
        <f>A119&amp;" Social, economic and demographic statistics and assumptions"</f>
        <v>Supporting Table SA9 Social, economic and demographic statistics and assumptions</v>
      </c>
      <c r="C119" s="1393"/>
      <c r="D119" s="1393"/>
      <c r="E119" s="1391"/>
      <c r="F119" s="1391"/>
    </row>
    <row r="120" spans="1:6" x14ac:dyDescent="0.2">
      <c r="A120" s="1478" t="s">
        <v>991</v>
      </c>
      <c r="B120" s="1479" t="str">
        <f>A120&amp;" Funding measurement"</f>
        <v>Supporting Table SA10 Funding measurement</v>
      </c>
      <c r="C120" s="1480" t="s">
        <v>1340</v>
      </c>
      <c r="D120" s="1393"/>
      <c r="E120" s="1391"/>
      <c r="F120" s="1391"/>
    </row>
    <row r="121" spans="1:6" x14ac:dyDescent="0.2">
      <c r="A121" s="1478" t="s">
        <v>992</v>
      </c>
      <c r="B121" s="1491" t="str">
        <f>A121&amp;" Property rates summary"</f>
        <v>Supporting Table SA11 Property rates summary</v>
      </c>
      <c r="C121" s="1393"/>
      <c r="D121" s="1393"/>
      <c r="E121" s="1391"/>
      <c r="F121" s="1391"/>
    </row>
    <row r="122" spans="1:6" x14ac:dyDescent="0.2">
      <c r="A122" s="1478" t="s">
        <v>2052</v>
      </c>
      <c r="B122" s="1491" t="str">
        <f>A122&amp;" Property rates by category (current year)"</f>
        <v>Supporting Table SA12a Property rates by category (current year)</v>
      </c>
      <c r="C122" s="1393"/>
      <c r="D122" s="1393"/>
      <c r="E122" s="1391"/>
      <c r="F122" s="1391"/>
    </row>
    <row r="123" spans="1:6" x14ac:dyDescent="0.2">
      <c r="A123" s="1478" t="s">
        <v>2053</v>
      </c>
      <c r="B123" s="1491" t="str">
        <f>A123&amp;" Property rates by category (budget year)"</f>
        <v>Supporting Table SA12b Property rates by category (budget year)</v>
      </c>
      <c r="C123" s="1393"/>
      <c r="D123" s="1393"/>
      <c r="E123" s="1391"/>
      <c r="F123" s="1391"/>
    </row>
    <row r="124" spans="1:6" x14ac:dyDescent="0.2">
      <c r="A124" s="1478" t="s">
        <v>2282</v>
      </c>
      <c r="B124" s="1491" t="str">
        <f>A124&amp;" Service Tariffs by category"</f>
        <v>Supporting Table SA13a Service Tariffs by category</v>
      </c>
      <c r="C124" s="1393"/>
      <c r="D124" s="1393"/>
      <c r="E124" s="1391"/>
      <c r="F124" s="1391"/>
    </row>
    <row r="125" spans="1:6" x14ac:dyDescent="0.2">
      <c r="A125" s="1478" t="s">
        <v>2283</v>
      </c>
      <c r="B125" s="1491" t="str">
        <f>A125&amp;" Service Tariffs by category - explanatory"</f>
        <v>Supporting Table SA13b Service Tariffs by category - explanatory</v>
      </c>
      <c r="C125" s="1393"/>
      <c r="D125" s="1393"/>
      <c r="E125" s="1391"/>
      <c r="F125" s="1391"/>
    </row>
    <row r="126" spans="1:6" x14ac:dyDescent="0.2">
      <c r="A126" s="1478" t="s">
        <v>993</v>
      </c>
      <c r="B126" s="1491" t="str">
        <f>A126&amp;" Household bills"</f>
        <v>Supporting Table SA14 Household bills</v>
      </c>
      <c r="C126" s="1393"/>
      <c r="D126" s="1393"/>
      <c r="E126" s="1391"/>
      <c r="F126" s="1391"/>
    </row>
    <row r="127" spans="1:6" x14ac:dyDescent="0.2">
      <c r="A127" s="1478" t="s">
        <v>994</v>
      </c>
      <c r="B127" s="1479" t="str">
        <f>A127&amp;" Investment particulars by type"</f>
        <v>Supporting Table SA15 Investment particulars by type</v>
      </c>
      <c r="C127" s="1393"/>
      <c r="D127" s="1393"/>
      <c r="E127" s="1391"/>
      <c r="F127" s="1391"/>
    </row>
    <row r="128" spans="1:6" x14ac:dyDescent="0.2">
      <c r="A128" s="1478" t="s">
        <v>995</v>
      </c>
      <c r="B128" s="1479" t="str">
        <f>A128&amp;" Investment particulars by maturity"</f>
        <v>Supporting Table SA16 Investment particulars by maturity</v>
      </c>
      <c r="C128" s="1393"/>
      <c r="D128" s="1393"/>
      <c r="E128" s="1391"/>
      <c r="F128" s="1391"/>
    </row>
    <row r="129" spans="1:6" x14ac:dyDescent="0.2">
      <c r="A129" s="1478" t="s">
        <v>996</v>
      </c>
      <c r="B129" s="1479" t="str">
        <f>A129&amp;" Borrowing"</f>
        <v>Supporting Table SA17 Borrowing</v>
      </c>
      <c r="C129" s="1393"/>
      <c r="D129" s="1407"/>
      <c r="E129" s="1391"/>
      <c r="F129" s="1391"/>
    </row>
    <row r="130" spans="1:6" x14ac:dyDescent="0.2">
      <c r="A130" s="1478" t="s">
        <v>997</v>
      </c>
      <c r="B130" s="1479" t="str">
        <f>A130&amp;" Transfers and grant receipts"</f>
        <v>Supporting Table SA18 Transfers and grant receipts</v>
      </c>
      <c r="C130" s="1393"/>
      <c r="D130" s="1393"/>
      <c r="E130" s="1391"/>
      <c r="F130" s="1391"/>
    </row>
    <row r="131" spans="1:6" x14ac:dyDescent="0.2">
      <c r="A131" s="1478" t="s">
        <v>998</v>
      </c>
      <c r="B131" s="1479" t="str">
        <f>A131&amp;" Expenditure on transfers and grant programme"</f>
        <v>Supporting Table SA19 Expenditure on transfers and grant programme</v>
      </c>
      <c r="C131" s="1393"/>
      <c r="D131" s="1393"/>
      <c r="E131" s="1391"/>
      <c r="F131" s="1391"/>
    </row>
    <row r="132" spans="1:6" x14ac:dyDescent="0.2">
      <c r="A132" s="1478" t="s">
        <v>999</v>
      </c>
      <c r="B132" s="1479" t="str">
        <f>A132&amp;" Reconciliation of transfers, grant receipts and unspent funds"</f>
        <v>Supporting Table SA20 Reconciliation of transfers, grant receipts and unspent funds</v>
      </c>
      <c r="C132" s="1393"/>
      <c r="D132" s="1393"/>
      <c r="E132" s="1391"/>
      <c r="F132" s="1391"/>
    </row>
    <row r="133" spans="1:6" x14ac:dyDescent="0.2">
      <c r="A133" s="1478" t="s">
        <v>1000</v>
      </c>
      <c r="B133" s="1479" t="str">
        <f>A133&amp;" Transfers and grants made by the municipality"</f>
        <v>Supporting Table SA21 Transfers and grants made by the municipality</v>
      </c>
      <c r="C133" s="1393"/>
      <c r="D133" s="1393"/>
      <c r="E133" s="1391"/>
      <c r="F133" s="1391"/>
    </row>
    <row r="134" spans="1:6" x14ac:dyDescent="0.2">
      <c r="A134" s="1478" t="s">
        <v>1001</v>
      </c>
      <c r="B134" s="1479" t="str">
        <f>A134&amp;" Summary councillor and staff benefits"</f>
        <v>Supporting Table SA22 Summary councillor and staff benefits</v>
      </c>
      <c r="C134" s="1393"/>
      <c r="D134" s="1407"/>
      <c r="E134" s="1391"/>
      <c r="F134" s="1391"/>
    </row>
    <row r="135" spans="1:6" x14ac:dyDescent="0.2">
      <c r="A135" s="1478" t="s">
        <v>1002</v>
      </c>
      <c r="B135" s="1479" t="str">
        <f>A135&amp;" Salaries, allowances &amp; benefits (political office bearers/councillors/senior managers)"</f>
        <v>Supporting Table SA23 Salaries, allowances &amp; benefits (political office bearers/councillors/senior managers)</v>
      </c>
      <c r="C135" s="1393"/>
      <c r="D135" s="1407"/>
      <c r="E135" s="1391"/>
      <c r="F135" s="1391"/>
    </row>
    <row r="136" spans="1:6" x14ac:dyDescent="0.2">
      <c r="A136" s="1478" t="s">
        <v>1003</v>
      </c>
      <c r="B136" s="1479" t="str">
        <f>A136&amp;" Summary of personnel numbers"</f>
        <v>Supporting Table SA24 Summary of personnel numbers</v>
      </c>
      <c r="C136" s="1393"/>
      <c r="D136" s="1393"/>
      <c r="E136" s="1391"/>
      <c r="F136" s="1391"/>
    </row>
    <row r="137" spans="1:6" x14ac:dyDescent="0.2">
      <c r="A137" s="1478" t="s">
        <v>1004</v>
      </c>
      <c r="B137" s="1491" t="str">
        <f t="shared" ref="B137:B143" si="1">IF(Consolques="YES",E137,F137)</f>
        <v>Supporting Table SA25 Consolidated budgeted monthly revenue and expenditure</v>
      </c>
      <c r="C137" s="1393"/>
      <c r="D137" s="1393"/>
      <c r="E137" s="1479" t="str">
        <f>A137&amp;" Consolidated budgeted monthly revenue and expenditure"</f>
        <v>Supporting Table SA25 Consolidated budgeted monthly revenue and expenditure</v>
      </c>
      <c r="F137" s="1479" t="str">
        <f>A137&amp;" Budgeted monthly revenue and expenditure"</f>
        <v>Supporting Table SA25 Budgeted monthly revenue and expenditure</v>
      </c>
    </row>
    <row r="138" spans="1:6" x14ac:dyDescent="0.2">
      <c r="A138" s="1478" t="s">
        <v>1005</v>
      </c>
      <c r="B138" s="1491" t="str">
        <f t="shared" si="1"/>
        <v>Supporting Table SA26 Consolidated budgeted monthly revenue and expenditure (municipal vote)</v>
      </c>
      <c r="C138" s="1393"/>
      <c r="D138" s="1393"/>
      <c r="E138" s="1479" t="str">
        <f>A138&amp;" Consolidated budgeted monthly revenue and expenditure (municipal vote)"</f>
        <v>Supporting Table SA26 Consolidated budgeted monthly revenue and expenditure (municipal vote)</v>
      </c>
      <c r="F138" s="1479" t="str">
        <f>A138&amp;" Budgeted monthly revenue and expenditure (municipal vote)"</f>
        <v>Supporting Table SA26 Budgeted monthly revenue and expenditure (municipal vote)</v>
      </c>
    </row>
    <row r="139" spans="1:6" x14ac:dyDescent="0.2">
      <c r="A139" s="1478" t="s">
        <v>1006</v>
      </c>
      <c r="B139" s="1491" t="str">
        <f t="shared" si="1"/>
        <v>Supporting Table SA27 Consolidated budgeted monthly revenue and expenditure (standard classification)</v>
      </c>
      <c r="C139" s="1393"/>
      <c r="D139" s="1393"/>
      <c r="E139" s="1479" t="str">
        <f>A139&amp;" Consolidated budgeted monthly revenue and expenditure (standard classification)"</f>
        <v>Supporting Table SA27 Consolidated budgeted monthly revenue and expenditure (standard classification)</v>
      </c>
      <c r="F139" s="1479" t="str">
        <f>A139&amp;" Budgeted monthly revenue and expenditure (standard classification)"</f>
        <v>Supporting Table SA27 Budgeted monthly revenue and expenditure (standard classification)</v>
      </c>
    </row>
    <row r="140" spans="1:6" x14ac:dyDescent="0.2">
      <c r="A140" s="1478" t="s">
        <v>1007</v>
      </c>
      <c r="B140" s="1491" t="str">
        <f t="shared" si="1"/>
        <v>Supporting Table SA28 Consolidated budgeted monthly capital expenditure (municipal vote)</v>
      </c>
      <c r="C140" s="1393"/>
      <c r="D140" s="1393"/>
      <c r="E140" s="1479" t="str">
        <f>A140&amp;" Consolidated budgeted monthly capital expenditure (municipal vote)"</f>
        <v>Supporting Table SA28 Consolidated budgeted monthly capital expenditure (municipal vote)</v>
      </c>
      <c r="F140" s="1479" t="str">
        <f>A140&amp;" Budgeted monthly capital expenditure (municipal vote)"</f>
        <v>Supporting Table SA28 Budgeted monthly capital expenditure (municipal vote)</v>
      </c>
    </row>
    <row r="141" spans="1:6" x14ac:dyDescent="0.2">
      <c r="A141" s="1478" t="s">
        <v>1008</v>
      </c>
      <c r="B141" s="1491" t="str">
        <f t="shared" si="1"/>
        <v>Supporting Table SA29 Consolidated budgeted monthly capital expenditure (standard classification)</v>
      </c>
      <c r="C141" s="1393"/>
      <c r="D141" s="1393"/>
      <c r="E141" s="1479" t="str">
        <f>A141&amp;" Consolidated budgeted monthly capital expenditure (standard classification)"</f>
        <v>Supporting Table SA29 Consolidated budgeted monthly capital expenditure (standard classification)</v>
      </c>
      <c r="F141" s="1479" t="str">
        <f>A141&amp;" Budgeted monthly capital expenditure (standard classification)"</f>
        <v>Supporting Table SA29 Budgeted monthly capital expenditure (standard classification)</v>
      </c>
    </row>
    <row r="142" spans="1:6" x14ac:dyDescent="0.2">
      <c r="A142" s="1478" t="s">
        <v>1009</v>
      </c>
      <c r="B142" s="1491" t="str">
        <f t="shared" si="1"/>
        <v>Supporting Table SA30 Consolidated budgeted monthly cash flow</v>
      </c>
      <c r="C142" s="1393"/>
      <c r="D142" s="1393"/>
      <c r="E142" s="1479" t="str">
        <f>A142&amp;" Consolidated budgeted monthly cash flow"</f>
        <v>Supporting Table SA30 Consolidated budgeted monthly cash flow</v>
      </c>
      <c r="F142" s="1479" t="str">
        <f>A142&amp;" Budgeted monthly cash flow"</f>
        <v>Supporting Table SA30 Budgeted monthly cash flow</v>
      </c>
    </row>
    <row r="143" spans="1:6" x14ac:dyDescent="0.2">
      <c r="A143" s="1478" t="s">
        <v>1010</v>
      </c>
      <c r="B143" s="1479" t="str">
        <f t="shared" si="1"/>
        <v>Supporting Table SA31 Aggregated entity budget</v>
      </c>
      <c r="C143" s="1393"/>
      <c r="D143" s="1393"/>
      <c r="E143" s="1479" t="str">
        <f>A143&amp;" Aggregated entity budget"</f>
        <v>Supporting Table SA31 Aggregated entity budget</v>
      </c>
      <c r="F143" s="1479" t="s">
        <v>1026</v>
      </c>
    </row>
    <row r="144" spans="1:6" x14ac:dyDescent="0.2">
      <c r="A144" s="1478" t="s">
        <v>1011</v>
      </c>
      <c r="B144" s="1479" t="str">
        <f>A144&amp;" List of external mechanisms"</f>
        <v>Supporting Table SA32 List of external mechanisms</v>
      </c>
      <c r="C144" s="1393"/>
      <c r="D144" s="1393"/>
      <c r="E144" s="1391"/>
      <c r="F144" s="1391"/>
    </row>
    <row r="145" spans="1:6" x14ac:dyDescent="0.2">
      <c r="A145" s="1478" t="s">
        <v>1012</v>
      </c>
      <c r="B145" s="1479" t="str">
        <f>A145&amp;" Contracts having future budgetary implications"</f>
        <v>Supporting Table SA33 Contracts having future budgetary implications</v>
      </c>
      <c r="C145" s="1393"/>
      <c r="D145" s="1393"/>
      <c r="E145" s="1391"/>
      <c r="F145" s="1391"/>
    </row>
    <row r="146" spans="1:6" x14ac:dyDescent="0.2">
      <c r="A146" s="1478" t="s">
        <v>1654</v>
      </c>
      <c r="B146" s="1479" t="str">
        <f t="shared" ref="B146:B152" si="2">IF(Consolques="YES",E146,F146)</f>
        <v>Supporting Table SA34a Consolidated capital expenditure on new assets by asset class</v>
      </c>
      <c r="C146" s="1393"/>
      <c r="D146" s="1393"/>
      <c r="E146" s="1479" t="str">
        <f>A146&amp;" Consolidated capital expenditure on new assets by asset class"</f>
        <v>Supporting Table SA34a Consolidated capital expenditure on new assets by asset class</v>
      </c>
      <c r="F146" s="1479" t="str">
        <f>A146&amp;" Capital expenditure on new assets by asset class"</f>
        <v>Supporting Table SA34a Capital expenditure on new assets by asset class</v>
      </c>
    </row>
    <row r="147" spans="1:6" x14ac:dyDescent="0.2">
      <c r="A147" s="1478" t="s">
        <v>1655</v>
      </c>
      <c r="B147" s="1479" t="str">
        <f t="shared" si="2"/>
        <v>Supporting Table SA34b Consolidated capital expenditure on existing assets by asset class</v>
      </c>
      <c r="C147" s="1393"/>
      <c r="D147" s="1393"/>
      <c r="E147" s="1479" t="str">
        <f>A147&amp;" Consolidated capital expenditure on existing assets by asset class"</f>
        <v>Supporting Table SA34b Consolidated capital expenditure on existing assets by asset class</v>
      </c>
      <c r="F147" s="1479" t="str">
        <f>A147&amp;" Capital expenditure on the renewal of existing assets by asset class"</f>
        <v>Supporting Table SA34b Capital expenditure on the renewal of existing assets by asset class</v>
      </c>
    </row>
    <row r="148" spans="1:6" x14ac:dyDescent="0.2">
      <c r="A148" s="1478" t="s">
        <v>1656</v>
      </c>
      <c r="B148" s="1479" t="str">
        <f t="shared" si="2"/>
        <v>Supporting Table SA34c Consolidated repairs and maintenance by asset class</v>
      </c>
      <c r="C148" s="1393"/>
      <c r="D148" s="1393"/>
      <c r="E148" s="1479" t="str">
        <f>A148&amp;" Consolidated repairs and maintenance by asset class"</f>
        <v>Supporting Table SA34c Consolidated repairs and maintenance by asset class</v>
      </c>
      <c r="F148" s="1479" t="str">
        <f>A148&amp;" Repairs and maintenance expenditure by asset class"</f>
        <v>Supporting Table SA34c Repairs and maintenance expenditure by asset class</v>
      </c>
    </row>
    <row r="149" spans="1:6" x14ac:dyDescent="0.2">
      <c r="A149" s="1478" t="s">
        <v>2049</v>
      </c>
      <c r="B149" s="1479" t="str">
        <f>IF(Consolques="YES",E149,F149)</f>
        <v>Supporting Table SA34d Consolidated Depreciation by asset class</v>
      </c>
      <c r="C149" s="1393"/>
      <c r="D149" s="1393"/>
      <c r="E149" s="1479" t="str">
        <f>A149&amp;" Consolidated Depreciation by asset class"</f>
        <v>Supporting Table SA34d Consolidated Depreciation by asset class</v>
      </c>
      <c r="F149" s="1479" t="str">
        <f>A149&amp;" Depreciation by asset class"</f>
        <v>Supporting Table SA34d Depreciation by asset class</v>
      </c>
    </row>
    <row r="150" spans="1:6" x14ac:dyDescent="0.2">
      <c r="A150" s="1478" t="s">
        <v>1013</v>
      </c>
      <c r="B150" s="1479" t="str">
        <f t="shared" si="2"/>
        <v>Supporting Table SA35 Consolidated future financial implications of the capital budget</v>
      </c>
      <c r="C150" s="1393"/>
      <c r="D150" s="1393"/>
      <c r="E150" s="1479" t="str">
        <f>A150&amp;" Consolidated future financial implications of the capital budget"</f>
        <v>Supporting Table SA35 Consolidated future financial implications of the capital budget</v>
      </c>
      <c r="F150" s="1479" t="str">
        <f>A150&amp; " Future financial implications of the capital budget"</f>
        <v>Supporting Table SA35 Future financial implications of the capital budget</v>
      </c>
    </row>
    <row r="151" spans="1:6" x14ac:dyDescent="0.2">
      <c r="A151" s="1478" t="s">
        <v>1014</v>
      </c>
      <c r="B151" s="1479" t="str">
        <f t="shared" si="2"/>
        <v>Supporting Table SA36 Consolidated detailed capital budget</v>
      </c>
      <c r="C151" s="1393"/>
      <c r="D151" s="1393"/>
      <c r="E151" s="1479" t="str">
        <f>A151&amp;" Consolidated detailed capital budget"</f>
        <v>Supporting Table SA36 Consolidated detailed capital budget</v>
      </c>
      <c r="F151" s="1479" t="str">
        <f>A151&amp; " Detailed capital budget"</f>
        <v>Supporting Table SA36 Detailed capital budget</v>
      </c>
    </row>
    <row r="152" spans="1:6" x14ac:dyDescent="0.2">
      <c r="A152" s="1478" t="s">
        <v>1015</v>
      </c>
      <c r="B152" s="1493" t="str">
        <f t="shared" si="2"/>
        <v>Supporting Table SA37 Consolidated projects delayed from previous financial year/s</v>
      </c>
      <c r="C152" s="1399"/>
      <c r="D152" s="1390"/>
      <c r="E152" s="1479" t="str">
        <f>A152&amp;" Consolidated projects delayed from previous financial year/s"</f>
        <v>Supporting Table SA37 Consolidated projects delayed from previous financial year/s</v>
      </c>
      <c r="F152" s="1479" t="str">
        <f>A152&amp; " Projects delayed from previous financial year/s"</f>
        <v>Supporting Table SA37 Projects delayed from previous financial year/s</v>
      </c>
    </row>
    <row r="153" spans="1:6" x14ac:dyDescent="0.2">
      <c r="A153" s="1501"/>
      <c r="B153" s="1493"/>
      <c r="C153" s="1399"/>
      <c r="D153" s="1390"/>
      <c r="E153" s="1479"/>
      <c r="F153" s="1479"/>
    </row>
    <row r="154" spans="1:6" ht="10.5" x14ac:dyDescent="0.25">
      <c r="A154" s="1498" t="s">
        <v>1071</v>
      </c>
      <c r="B154" s="1499" t="s">
        <v>1354</v>
      </c>
      <c r="C154" s="1500" t="s">
        <v>1097</v>
      </c>
      <c r="D154" s="1396"/>
    </row>
    <row r="155" spans="1:6" x14ac:dyDescent="0.2">
      <c r="A155" s="1501" t="s">
        <v>1829</v>
      </c>
      <c r="B155" s="1502" t="str">
        <f>A155&amp;"Revenue by Municipal Vote"</f>
        <v>Chart A1 Revenue by Municipal Vote</v>
      </c>
      <c r="C155" s="1406"/>
      <c r="D155" s="1408"/>
    </row>
    <row r="156" spans="1:6" x14ac:dyDescent="0.2">
      <c r="A156" s="1501" t="s">
        <v>1830</v>
      </c>
      <c r="B156" s="1503" t="str">
        <f>A156&amp;"Expenditure by Municipal Vote"</f>
        <v>Chart A2 Expenditure by Municipal Vote</v>
      </c>
      <c r="C156" s="1393"/>
      <c r="D156" s="1401"/>
    </row>
    <row r="157" spans="1:6" x14ac:dyDescent="0.2">
      <c r="A157" s="1501" t="s">
        <v>1831</v>
      </c>
      <c r="B157" s="1503" t="str">
        <f>A157&amp;"Revenue by Standard Classification"</f>
        <v>Chart A3 Revenue by Standard Classification</v>
      </c>
      <c r="C157" s="1480" t="s">
        <v>1096</v>
      </c>
      <c r="D157" s="1391"/>
    </row>
    <row r="158" spans="1:6" x14ac:dyDescent="0.2">
      <c r="A158" s="1501" t="s">
        <v>1832</v>
      </c>
      <c r="B158" s="1503" t="str">
        <f>A158&amp;"Expenditure by Standard Classification"</f>
        <v>Chart A4 Expenditure by Standard Classification</v>
      </c>
      <c r="C158" s="1480" t="s">
        <v>1096</v>
      </c>
      <c r="D158" s="1391"/>
    </row>
    <row r="159" spans="1:6" x14ac:dyDescent="0.2">
      <c r="A159" s="1501" t="s">
        <v>1833</v>
      </c>
      <c r="B159" s="1503" t="str">
        <f>A159&amp;"Revenue by Major Source (refer 'Minor' source for 'Other Revenue' allocation"</f>
        <v>Chart A5 Revenue by Major Source (refer 'Minor' source for 'Other Revenue' allocation</v>
      </c>
      <c r="C159" s="1480" t="s">
        <v>1098</v>
      </c>
      <c r="D159" s="1391"/>
    </row>
    <row r="160" spans="1:6" x14ac:dyDescent="0.2">
      <c r="A160" s="1501" t="s">
        <v>1834</v>
      </c>
      <c r="B160" s="1503" t="str">
        <f>A160&amp;"Revenue by Minor Source (Other)"</f>
        <v>Chart A6 Revenue by Minor Source (Other)</v>
      </c>
      <c r="C160" s="1480" t="s">
        <v>1098</v>
      </c>
      <c r="D160" s="1391"/>
    </row>
    <row r="161" spans="1:4" x14ac:dyDescent="0.2">
      <c r="A161" s="1501" t="s">
        <v>1835</v>
      </c>
      <c r="B161" s="1503" t="str">
        <f>A161&amp;"Expenditure by Major Type"</f>
        <v>Chart A7 Expenditure by Major Type</v>
      </c>
      <c r="C161" s="1480" t="s">
        <v>1098</v>
      </c>
      <c r="D161" s="1391"/>
    </row>
    <row r="162" spans="1:4" x14ac:dyDescent="0.2">
      <c r="A162" s="1501" t="s">
        <v>1836</v>
      </c>
      <c r="B162" s="1503" t="str">
        <f>A162&amp;"Expenditure by Minor Type (Other)"</f>
        <v>Chart A8 Expenditure by Minor Type (Other)</v>
      </c>
      <c r="C162" s="1480" t="s">
        <v>1098</v>
      </c>
      <c r="D162" s="1391"/>
    </row>
    <row r="163" spans="1:4" x14ac:dyDescent="0.2">
      <c r="A163" s="1501" t="s">
        <v>1837</v>
      </c>
      <c r="B163" s="1503" t="str">
        <f>A163&amp;"Capital Expenditure by Municipal Vote/Appropriation (Major)"</f>
        <v>Chart A9 Capital Expenditure by Municipal Vote/Appropriation (Major)</v>
      </c>
      <c r="C163" s="1480" t="s">
        <v>1099</v>
      </c>
      <c r="D163" s="1391"/>
    </row>
    <row r="164" spans="1:4" x14ac:dyDescent="0.2">
      <c r="A164" s="1501" t="s">
        <v>1838</v>
      </c>
      <c r="B164" s="1503" t="str">
        <f>A164&amp;"Capital Expenditure by Municipal Vote/Appropriation (Minor)"</f>
        <v>Chart A10 Capital Expenditure by Municipal Vote/Appropriation (Minor)</v>
      </c>
      <c r="C164" s="1480" t="s">
        <v>1099</v>
      </c>
      <c r="D164" s="1391"/>
    </row>
    <row r="165" spans="1:4" x14ac:dyDescent="0.2">
      <c r="A165" s="1501" t="s">
        <v>1839</v>
      </c>
      <c r="B165" s="1503" t="str">
        <f>A164&amp;"Capital Expenditure by Standard Classification"</f>
        <v>Chart A10 Capital Expenditure by Standard Classification</v>
      </c>
      <c r="C165" s="1480" t="s">
        <v>1099</v>
      </c>
      <c r="D165" s="1391"/>
    </row>
    <row r="166" spans="1:4" x14ac:dyDescent="0.2">
      <c r="A166" s="1501" t="s">
        <v>1840</v>
      </c>
      <c r="B166" s="1503" t="str">
        <f>A166&amp;"Capital expenditure performance trend"</f>
        <v>Chart A12 Capital expenditure performance trend</v>
      </c>
      <c r="C166" s="1480" t="s">
        <v>1099</v>
      </c>
      <c r="D166" s="1391"/>
    </row>
    <row r="167" spans="1:4" x14ac:dyDescent="0.2">
      <c r="A167" s="1501" t="s">
        <v>1841</v>
      </c>
      <c r="B167" s="1503" t="str">
        <f>A167&amp;"Capital funding by Source"</f>
        <v>Chart A13 Capital funding by Source</v>
      </c>
      <c r="C167" s="1480" t="s">
        <v>1099</v>
      </c>
      <c r="D167" s="1391"/>
    </row>
    <row r="168" spans="1:4" x14ac:dyDescent="0.2">
      <c r="A168" s="1501" t="s">
        <v>1842</v>
      </c>
      <c r="B168" s="1503" t="str">
        <f>A168&amp;"Cash flow trend"</f>
        <v>Chart A14 Cash flow trend</v>
      </c>
      <c r="C168" s="1480" t="s">
        <v>1100</v>
      </c>
      <c r="D168" s="1391"/>
    </row>
    <row r="169" spans="1:4" x14ac:dyDescent="0.2">
      <c r="A169" s="1501" t="s">
        <v>1843</v>
      </c>
      <c r="B169" s="1503" t="str">
        <f>A169&amp;"IDP Strategic Objective - Revenue"</f>
        <v>Chart A15 IDP Strategic Objective - Revenue</v>
      </c>
      <c r="C169" s="1480" t="s">
        <v>313</v>
      </c>
      <c r="D169" s="1391"/>
    </row>
    <row r="170" spans="1:4" x14ac:dyDescent="0.2">
      <c r="A170" s="1501" t="s">
        <v>1844</v>
      </c>
      <c r="B170" s="1503" t="str">
        <f>A170&amp;"IDP Strategic Objective - Expenditure"</f>
        <v>Chart A16 IDP Strategic Objective - Expenditure</v>
      </c>
      <c r="C170" s="1480" t="s">
        <v>314</v>
      </c>
      <c r="D170" s="1391"/>
    </row>
    <row r="171" spans="1:4" x14ac:dyDescent="0.2">
      <c r="A171" s="1501" t="s">
        <v>1845</v>
      </c>
      <c r="B171" s="1503" t="str">
        <f>A171&amp;"IDP Strategic Objective - Capital Expenditure"</f>
        <v>Chart A17 IDP Strategic Objective - Capital Expenditure</v>
      </c>
      <c r="C171" s="1480" t="s">
        <v>315</v>
      </c>
    </row>
    <row r="172" spans="1:4" x14ac:dyDescent="0.2">
      <c r="A172" s="1501" t="s">
        <v>1846</v>
      </c>
      <c r="B172" s="1503" t="str">
        <f>A172&amp;"Debt (borrowing to Total Revenue)"</f>
        <v>Chart A18 Debt (borrowing to Total Revenue)</v>
      </c>
      <c r="C172" s="1480" t="s">
        <v>316</v>
      </c>
    </row>
    <row r="173" spans="1:4" x14ac:dyDescent="0.2">
      <c r="A173" s="1501" t="s">
        <v>1847</v>
      </c>
      <c r="B173" s="1503" t="str">
        <f>A173&amp;"Debtors' trend analysis"</f>
        <v>Chart A19 Debtors' trend analysis</v>
      </c>
      <c r="C173" s="1480" t="s">
        <v>316</v>
      </c>
    </row>
    <row r="174" spans="1:4" x14ac:dyDescent="0.2">
      <c r="A174" s="1501" t="s">
        <v>1848</v>
      </c>
      <c r="B174" s="1503" t="str">
        <f>A174&amp;"Distribution losses"</f>
        <v>Chart A20 Distribution losses</v>
      </c>
      <c r="C174" s="1480" t="s">
        <v>316</v>
      </c>
    </row>
    <row r="175" spans="1:4" x14ac:dyDescent="0.2">
      <c r="A175" s="1501" t="s">
        <v>1849</v>
      </c>
      <c r="B175" s="1503" t="str">
        <f>A175&amp;"Borrowed funding of capital expenditure"</f>
        <v>Chart A21 Borrowed funding of capital expenditure</v>
      </c>
      <c r="C175" s="1480" t="s">
        <v>316</v>
      </c>
    </row>
    <row r="176" spans="1:4" x14ac:dyDescent="0.2">
      <c r="A176" s="1501" t="s">
        <v>1850</v>
      </c>
      <c r="B176" s="1503" t="str">
        <f>A176&amp;"Expenditure analysis (% of Revenue)"</f>
        <v>Chart A22 Expenditure analysis (% of Revenue)</v>
      </c>
      <c r="C176" s="1480" t="s">
        <v>316</v>
      </c>
    </row>
    <row r="177" spans="1:5" x14ac:dyDescent="0.2">
      <c r="A177" s="1494" t="s">
        <v>1851</v>
      </c>
      <c r="B177" s="1504" t="str">
        <f>A177&amp;"Increases in service charges"</f>
        <v>Chart A23 Increases in service charges</v>
      </c>
      <c r="C177" s="1505" t="s">
        <v>634</v>
      </c>
    </row>
    <row r="178" spans="1:5" x14ac:dyDescent="0.2">
      <c r="A178" s="1388"/>
    </row>
    <row r="179" spans="1:5" x14ac:dyDescent="0.2">
      <c r="A179" s="1388"/>
    </row>
    <row r="180" spans="1:5" x14ac:dyDescent="0.2">
      <c r="A180" s="1388"/>
    </row>
    <row r="181" spans="1:5" x14ac:dyDescent="0.2">
      <c r="D181" s="1401"/>
      <c r="E181" s="1391"/>
    </row>
  </sheetData>
  <mergeCells count="5">
    <mergeCell ref="A1:D1"/>
    <mergeCell ref="A87:B87"/>
    <mergeCell ref="A110:B110"/>
    <mergeCell ref="A99:B99"/>
    <mergeCell ref="A92:D9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3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298450</xdr:colOff>
                    <xdr:row>2</xdr:row>
                    <xdr:rowOff>6350</xdr:rowOff>
                  </from>
                  <to>
                    <xdr:col>4</xdr:col>
                    <xdr:colOff>2089150</xdr:colOff>
                    <xdr:row>4</xdr:row>
                    <xdr:rowOff>6350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enableFormatConditionsCalculation="0">
    <tabColor indexed="42"/>
    <pageSetUpPr fitToPage="1"/>
  </sheetPr>
  <dimension ref="A1:L112"/>
  <sheetViews>
    <sheetView showGridLines="0" zoomScaleNormal="100" workbookViewId="0">
      <pane xSplit="2" ySplit="4" topLeftCell="C74" activePane="bottomRight" state="frozen"/>
      <selection pane="topRight"/>
      <selection pane="bottomLeft"/>
      <selection pane="bottomRight" activeCell="G22" sqref="G22"/>
    </sheetView>
  </sheetViews>
  <sheetFormatPr defaultColWidth="9.1796875" defaultRowHeight="10.5" x14ac:dyDescent="0.25"/>
  <cols>
    <col min="1" max="1" width="30.7265625" style="149" customWidth="1"/>
    <col min="2" max="2" width="3" style="247" customWidth="1"/>
    <col min="3" max="11" width="9.26953125" style="149" customWidth="1"/>
    <col min="12" max="12" width="9.81640625" style="149" customWidth="1"/>
    <col min="13" max="13" width="9.54296875" style="149" customWidth="1"/>
    <col min="14" max="14" width="9.81640625" style="149" customWidth="1"/>
    <col min="15" max="17" width="9.54296875" style="149" customWidth="1"/>
    <col min="18" max="18" width="9.81640625" style="149" customWidth="1"/>
    <col min="19" max="21" width="9.54296875" style="149" customWidth="1"/>
    <col min="22" max="23" width="9.81640625" style="149" customWidth="1"/>
    <col min="24" max="16384" width="9.1796875" style="149"/>
  </cols>
  <sheetData>
    <row r="1" spans="1:11" ht="13" x14ac:dyDescent="0.3">
      <c r="A1" s="147" t="str">
        <f>muni&amp;" - "&amp;TableA11</f>
        <v>KZN225 Msunduzi - Supporting Table SA11 Property rates summary</v>
      </c>
      <c r="B1" s="147"/>
      <c r="C1" s="147"/>
      <c r="D1" s="147"/>
      <c r="E1" s="147"/>
      <c r="F1" s="147"/>
      <c r="G1" s="147"/>
      <c r="H1" s="147"/>
      <c r="I1" s="147"/>
      <c r="J1" s="147"/>
      <c r="K1" s="147"/>
    </row>
    <row r="2" spans="1:11" ht="28.5" customHeight="1" x14ac:dyDescent="0.25">
      <c r="A2" s="2727" t="str">
        <f>desc</f>
        <v>Description</v>
      </c>
      <c r="B2" s="2703" t="str">
        <f>head27</f>
        <v>Ref</v>
      </c>
      <c r="C2" s="145" t="str">
        <f>head1b</f>
        <v>2009/10</v>
      </c>
      <c r="D2" s="150" t="str">
        <f>head1A</f>
        <v>2010/11</v>
      </c>
      <c r="E2" s="146" t="str">
        <f>Head1</f>
        <v>2011/12</v>
      </c>
      <c r="F2" s="2677" t="str">
        <f>Head2</f>
        <v>Current Year 2012/13</v>
      </c>
      <c r="G2" s="2678"/>
      <c r="H2" s="2682"/>
      <c r="I2" s="2674" t="str">
        <f>Head3</f>
        <v>2013/14 Medium Term Revenue &amp; Expenditure Framework</v>
      </c>
      <c r="J2" s="2675"/>
      <c r="K2" s="2676"/>
    </row>
    <row r="3" spans="1:11" ht="21" x14ac:dyDescent="0.25">
      <c r="A3" s="2728"/>
      <c r="B3" s="2704"/>
      <c r="C3" s="154" t="str">
        <f>Head5</f>
        <v>Audited Outcome</v>
      </c>
      <c r="D3" s="152" t="str">
        <f>Head5</f>
        <v>Audited Outcome</v>
      </c>
      <c r="E3" s="153" t="str">
        <f>Head5</f>
        <v>Audited Outcome</v>
      </c>
      <c r="F3" s="151" t="str">
        <f>Head6</f>
        <v>Original Budget</v>
      </c>
      <c r="G3" s="152" t="str">
        <f>Head7</f>
        <v>Adjusted Budget</v>
      </c>
      <c r="H3" s="153" t="str">
        <f>Head8</f>
        <v>Full Year Forecast</v>
      </c>
      <c r="I3" s="151" t="str">
        <f>Head9</f>
        <v>Budget Year 2013/14</v>
      </c>
      <c r="J3" s="152" t="str">
        <f>Head10</f>
        <v>Budget Year +1 2014/15</v>
      </c>
      <c r="K3" s="153" t="str">
        <f>Head11</f>
        <v>Budget Year +2 2015/16</v>
      </c>
    </row>
    <row r="4" spans="1:11" ht="4.5" customHeight="1" x14ac:dyDescent="0.25">
      <c r="A4" s="180"/>
      <c r="B4" s="2709"/>
      <c r="C4" s="157"/>
      <c r="D4" s="138"/>
      <c r="E4" s="156"/>
      <c r="F4" s="155"/>
      <c r="G4" s="138"/>
      <c r="H4" s="156"/>
      <c r="I4" s="155"/>
      <c r="J4" s="138"/>
      <c r="K4" s="156"/>
    </row>
    <row r="5" spans="1:11" ht="11.25" customHeight="1" x14ac:dyDescent="0.25">
      <c r="A5" s="181" t="s">
        <v>757</v>
      </c>
      <c r="B5" s="593">
        <v>1</v>
      </c>
      <c r="C5" s="594"/>
      <c r="D5" s="594"/>
      <c r="E5" s="222"/>
      <c r="F5" s="595"/>
      <c r="G5" s="2060"/>
      <c r="H5" s="2061"/>
      <c r="I5" s="2062"/>
      <c r="J5" s="2060"/>
      <c r="K5" s="2063"/>
    </row>
    <row r="6" spans="1:11" ht="11.25" customHeight="1" x14ac:dyDescent="0.25">
      <c r="A6" s="190" t="s">
        <v>756</v>
      </c>
      <c r="B6" s="557"/>
      <c r="C6" s="1836">
        <v>39630</v>
      </c>
      <c r="D6" s="1836">
        <v>39630</v>
      </c>
      <c r="E6" s="1837">
        <v>39630</v>
      </c>
      <c r="F6" s="1838">
        <v>39630</v>
      </c>
      <c r="G6" s="2064"/>
      <c r="H6" s="2065"/>
      <c r="I6" s="2066"/>
      <c r="J6" s="2064"/>
      <c r="K6" s="2067"/>
    </row>
    <row r="7" spans="1:11" ht="11.25" customHeight="1" x14ac:dyDescent="0.25">
      <c r="A7" s="190" t="s">
        <v>659</v>
      </c>
      <c r="B7" s="557"/>
      <c r="C7" s="1839" t="s">
        <v>2431</v>
      </c>
      <c r="D7" s="1839" t="s">
        <v>2432</v>
      </c>
      <c r="E7" s="1840" t="s">
        <v>2433</v>
      </c>
      <c r="F7" s="1841" t="s">
        <v>2437</v>
      </c>
      <c r="G7" s="2068"/>
      <c r="H7" s="2069"/>
      <c r="I7" s="1824" t="s">
        <v>2441</v>
      </c>
      <c r="J7" s="2072"/>
      <c r="K7" s="2073"/>
    </row>
    <row r="8" spans="1:11" ht="11.25" customHeight="1" x14ac:dyDescent="0.25">
      <c r="A8" s="190" t="s">
        <v>409</v>
      </c>
      <c r="B8" s="597" t="s">
        <v>779</v>
      </c>
      <c r="C8" s="1826" t="s">
        <v>425</v>
      </c>
      <c r="D8" s="1826"/>
      <c r="E8" s="1828"/>
      <c r="F8" s="1842"/>
      <c r="G8" s="2070"/>
      <c r="H8" s="2071"/>
      <c r="I8" s="1825"/>
      <c r="J8" s="2072"/>
      <c r="K8" s="2073"/>
    </row>
    <row r="9" spans="1:11" ht="11.25" customHeight="1" x14ac:dyDescent="0.25">
      <c r="A9" s="190" t="s">
        <v>1264</v>
      </c>
      <c r="B9" s="557"/>
      <c r="C9" s="1826" t="s">
        <v>425</v>
      </c>
      <c r="D9" s="1826" t="s">
        <v>425</v>
      </c>
      <c r="E9" s="1828" t="s">
        <v>425</v>
      </c>
      <c r="F9" s="1842" t="s">
        <v>425</v>
      </c>
      <c r="G9" s="2054"/>
      <c r="H9" s="2055"/>
      <c r="I9" s="1825" t="s">
        <v>425</v>
      </c>
      <c r="J9" s="2056"/>
      <c r="K9" s="2057"/>
    </row>
    <row r="10" spans="1:11" ht="11.25" customHeight="1" x14ac:dyDescent="0.25">
      <c r="A10" s="190" t="s">
        <v>758</v>
      </c>
      <c r="B10" s="557"/>
      <c r="C10" s="1826"/>
      <c r="D10" s="1826"/>
      <c r="E10" s="1828"/>
      <c r="F10" s="1842"/>
      <c r="G10" s="1826" t="s">
        <v>2439</v>
      </c>
      <c r="H10" s="1827" t="s">
        <v>2439</v>
      </c>
      <c r="I10" s="1825" t="s">
        <v>827</v>
      </c>
      <c r="J10" s="1826"/>
      <c r="K10" s="1828"/>
    </row>
    <row r="11" spans="1:11" ht="11.25" customHeight="1" x14ac:dyDescent="0.25">
      <c r="A11" s="190" t="s">
        <v>1265</v>
      </c>
      <c r="B11" s="597">
        <v>3</v>
      </c>
      <c r="C11" s="1829">
        <v>35</v>
      </c>
      <c r="D11" s="1843">
        <v>0</v>
      </c>
      <c r="E11" s="1844"/>
      <c r="F11" s="1845">
        <v>0</v>
      </c>
      <c r="G11" s="1829" t="s">
        <v>2440</v>
      </c>
      <c r="H11" s="1830" t="s">
        <v>2440</v>
      </c>
      <c r="I11" s="1831" t="s">
        <v>2434</v>
      </c>
      <c r="J11" s="1829"/>
      <c r="K11" s="1832"/>
    </row>
    <row r="12" spans="1:11" ht="11.25" customHeight="1" x14ac:dyDescent="0.25">
      <c r="A12" s="325" t="s">
        <v>1266</v>
      </c>
      <c r="B12" s="565">
        <v>3</v>
      </c>
      <c r="C12" s="1833">
        <v>154</v>
      </c>
      <c r="D12" s="1846">
        <v>0</v>
      </c>
      <c r="E12" s="1847"/>
      <c r="F12" s="1845">
        <v>0</v>
      </c>
      <c r="G12" s="1833" t="s">
        <v>2440</v>
      </c>
      <c r="H12" s="1834" t="s">
        <v>2440</v>
      </c>
      <c r="I12" s="1831" t="s">
        <v>2434</v>
      </c>
      <c r="J12" s="1833"/>
      <c r="K12" s="1835"/>
    </row>
    <row r="13" spans="1:11" ht="11.25" customHeight="1" x14ac:dyDescent="0.25">
      <c r="A13" s="325" t="s">
        <v>1267</v>
      </c>
      <c r="B13" s="565">
        <v>3</v>
      </c>
      <c r="C13" s="1833">
        <v>1</v>
      </c>
      <c r="D13" s="1846">
        <v>4</v>
      </c>
      <c r="E13" s="1847"/>
      <c r="F13" s="1845">
        <v>4</v>
      </c>
      <c r="G13" s="1833">
        <v>5</v>
      </c>
      <c r="H13" s="1834">
        <v>5</v>
      </c>
      <c r="I13" s="1831">
        <v>5</v>
      </c>
      <c r="J13" s="1833"/>
      <c r="K13" s="1835"/>
    </row>
    <row r="14" spans="1:11" ht="11.25" customHeight="1" x14ac:dyDescent="0.25">
      <c r="A14" s="325" t="s">
        <v>1268</v>
      </c>
      <c r="B14" s="565">
        <v>3</v>
      </c>
      <c r="C14" s="1833">
        <v>34</v>
      </c>
      <c r="D14" s="1846">
        <v>0</v>
      </c>
      <c r="E14" s="1847"/>
      <c r="F14" s="1845">
        <v>0</v>
      </c>
      <c r="G14" s="1833" t="s">
        <v>2440</v>
      </c>
      <c r="H14" s="1834" t="s">
        <v>2440</v>
      </c>
      <c r="I14" s="1831"/>
      <c r="J14" s="1833"/>
      <c r="K14" s="1835"/>
    </row>
    <row r="15" spans="1:11" ht="11.25" customHeight="1" x14ac:dyDescent="0.25">
      <c r="A15" s="325" t="s">
        <v>1576</v>
      </c>
      <c r="B15" s="598">
        <v>4</v>
      </c>
      <c r="C15" s="1833">
        <v>0</v>
      </c>
      <c r="D15" s="1846">
        <v>0</v>
      </c>
      <c r="E15" s="1847"/>
      <c r="F15" s="1845">
        <v>0</v>
      </c>
      <c r="G15" s="1833" t="s">
        <v>2440</v>
      </c>
      <c r="H15" s="1834" t="s">
        <v>2440</v>
      </c>
      <c r="I15" s="1831" t="s">
        <v>2434</v>
      </c>
      <c r="J15" s="1833"/>
      <c r="K15" s="1835"/>
    </row>
    <row r="16" spans="1:11" ht="11.25" customHeight="1" x14ac:dyDescent="0.25">
      <c r="A16" s="190" t="s">
        <v>660</v>
      </c>
      <c r="B16" s="557"/>
      <c r="C16" s="1826" t="s">
        <v>827</v>
      </c>
      <c r="D16" s="1826" t="s">
        <v>425</v>
      </c>
      <c r="E16" s="1828" t="s">
        <v>425</v>
      </c>
      <c r="F16" s="1842" t="s">
        <v>425</v>
      </c>
      <c r="G16" s="2054"/>
      <c r="H16" s="2055"/>
      <c r="I16" s="1825" t="s">
        <v>425</v>
      </c>
      <c r="J16" s="2056"/>
      <c r="K16" s="2057"/>
    </row>
    <row r="17" spans="1:11" ht="11.25" customHeight="1" x14ac:dyDescent="0.25">
      <c r="A17" s="190" t="s">
        <v>407</v>
      </c>
      <c r="B17" s="557"/>
      <c r="C17" s="1833">
        <v>12</v>
      </c>
      <c r="D17" s="1846"/>
      <c r="E17" s="1847"/>
      <c r="F17" s="1845"/>
      <c r="G17" s="2054"/>
      <c r="H17" s="2055"/>
      <c r="I17" s="1831"/>
      <c r="J17" s="2058"/>
      <c r="K17" s="2059"/>
    </row>
    <row r="18" spans="1:11" ht="11.25" customHeight="1" x14ac:dyDescent="0.25">
      <c r="A18" s="190" t="s">
        <v>410</v>
      </c>
      <c r="B18" s="597">
        <v>5</v>
      </c>
      <c r="C18" s="1846">
        <v>89000</v>
      </c>
      <c r="D18" s="1846"/>
      <c r="E18" s="1847"/>
      <c r="F18" s="1845"/>
      <c r="G18" s="1846">
        <v>91371</v>
      </c>
      <c r="H18" s="1851">
        <v>91371</v>
      </c>
      <c r="I18" s="1831">
        <v>92000</v>
      </c>
      <c r="J18" s="1833"/>
      <c r="K18" s="1835"/>
    </row>
    <row r="19" spans="1:11" ht="11.25" customHeight="1" x14ac:dyDescent="0.25">
      <c r="A19" s="190" t="s">
        <v>411</v>
      </c>
      <c r="B19" s="597">
        <v>5</v>
      </c>
      <c r="C19" s="1846">
        <v>2000</v>
      </c>
      <c r="D19" s="1846"/>
      <c r="E19" s="1847"/>
      <c r="F19" s="1845"/>
      <c r="G19" s="1846">
        <v>10000</v>
      </c>
      <c r="H19" s="1851">
        <v>10000</v>
      </c>
      <c r="I19" s="1831">
        <v>10200</v>
      </c>
      <c r="J19" s="1833"/>
      <c r="K19" s="1835"/>
    </row>
    <row r="20" spans="1:11" ht="11.25" customHeight="1" x14ac:dyDescent="0.25">
      <c r="A20" s="190" t="s">
        <v>412</v>
      </c>
      <c r="B20" s="597"/>
      <c r="C20" s="1846" t="s">
        <v>2434</v>
      </c>
      <c r="D20" s="1846">
        <v>0</v>
      </c>
      <c r="E20" s="1847">
        <v>0</v>
      </c>
      <c r="F20" s="1845">
        <v>0</v>
      </c>
      <c r="G20" s="1846" t="s">
        <v>2434</v>
      </c>
      <c r="H20" s="1851" t="s">
        <v>2434</v>
      </c>
      <c r="I20" s="1831" t="s">
        <v>2434</v>
      </c>
      <c r="J20" s="1833"/>
      <c r="K20" s="1835"/>
    </row>
    <row r="21" spans="1:11" ht="11.25" customHeight="1" x14ac:dyDescent="0.25">
      <c r="A21" s="190" t="s">
        <v>748</v>
      </c>
      <c r="B21" s="557"/>
      <c r="C21" s="1833">
        <v>1</v>
      </c>
      <c r="D21" s="1846" t="s">
        <v>2435</v>
      </c>
      <c r="E21" s="1847" t="s">
        <v>2435</v>
      </c>
      <c r="F21" s="1845" t="s">
        <v>2435</v>
      </c>
      <c r="G21" s="1846">
        <v>6</v>
      </c>
      <c r="H21" s="1851">
        <v>6</v>
      </c>
      <c r="I21" s="1831">
        <v>2</v>
      </c>
      <c r="J21" s="1833"/>
      <c r="K21" s="1835"/>
    </row>
    <row r="22" spans="1:11" ht="11.25" customHeight="1" x14ac:dyDescent="0.25">
      <c r="A22" s="190" t="s">
        <v>749</v>
      </c>
      <c r="B22" s="557"/>
      <c r="C22" s="1833">
        <v>14177</v>
      </c>
      <c r="D22" s="1846">
        <v>843</v>
      </c>
      <c r="E22" s="1847">
        <v>843</v>
      </c>
      <c r="F22" s="1845">
        <v>843</v>
      </c>
      <c r="G22" s="1833">
        <v>2300</v>
      </c>
      <c r="H22" s="1834">
        <v>2300</v>
      </c>
      <c r="I22" s="1831">
        <v>500</v>
      </c>
      <c r="J22" s="1833"/>
      <c r="K22" s="1835"/>
    </row>
    <row r="23" spans="1:11" ht="11.25" customHeight="1" x14ac:dyDescent="0.25">
      <c r="A23" s="190" t="s">
        <v>370</v>
      </c>
      <c r="B23" s="557"/>
      <c r="C23" s="1833">
        <v>8832</v>
      </c>
      <c r="D23" s="1846">
        <v>10</v>
      </c>
      <c r="E23" s="1847">
        <v>10</v>
      </c>
      <c r="F23" s="1845">
        <v>10</v>
      </c>
      <c r="G23" s="1833">
        <v>8</v>
      </c>
      <c r="H23" s="1834">
        <v>8</v>
      </c>
      <c r="I23" s="1831">
        <v>10</v>
      </c>
      <c r="J23" s="1833"/>
      <c r="K23" s="1835"/>
    </row>
    <row r="24" spans="1:11" ht="11.25" customHeight="1" x14ac:dyDescent="0.25">
      <c r="A24" s="190" t="s">
        <v>371</v>
      </c>
      <c r="B24" s="557"/>
      <c r="C24" s="1833"/>
      <c r="D24" s="1846">
        <v>248</v>
      </c>
      <c r="E24" s="1847">
        <v>248</v>
      </c>
      <c r="F24" s="1845">
        <v>248</v>
      </c>
      <c r="G24" s="1833" t="s">
        <v>2434</v>
      </c>
      <c r="H24" s="1834" t="s">
        <v>2434</v>
      </c>
      <c r="I24" s="1831" t="s">
        <v>2434</v>
      </c>
      <c r="J24" s="1833"/>
      <c r="K24" s="1835"/>
    </row>
    <row r="25" spans="1:11" ht="11.25" customHeight="1" x14ac:dyDescent="0.25">
      <c r="A25" s="190" t="s">
        <v>759</v>
      </c>
      <c r="B25" s="557">
        <v>8</v>
      </c>
      <c r="C25" s="1833"/>
      <c r="D25" s="1846"/>
      <c r="E25" s="1847"/>
      <c r="F25" s="1845"/>
      <c r="G25" s="1833"/>
      <c r="H25" s="1834"/>
      <c r="I25" s="1831" t="s">
        <v>2442</v>
      </c>
      <c r="J25" s="1833"/>
      <c r="K25" s="1835"/>
    </row>
    <row r="26" spans="1:11" ht="11.25" customHeight="1" x14ac:dyDescent="0.25">
      <c r="A26" s="190" t="s">
        <v>747</v>
      </c>
      <c r="B26" s="557">
        <v>8</v>
      </c>
      <c r="C26" s="1833"/>
      <c r="D26" s="1846"/>
      <c r="E26" s="1847"/>
      <c r="F26" s="1845"/>
      <c r="G26" s="1833"/>
      <c r="H26" s="1834"/>
      <c r="I26" s="1831"/>
      <c r="J26" s="1833"/>
      <c r="K26" s="1835"/>
    </row>
    <row r="27" spans="1:11" ht="11.25" customHeight="1" x14ac:dyDescent="0.25">
      <c r="A27" s="190" t="s">
        <v>1530</v>
      </c>
      <c r="B27" s="557"/>
      <c r="C27" s="1846" t="s">
        <v>2436</v>
      </c>
      <c r="D27" s="1846"/>
      <c r="E27" s="1847"/>
      <c r="F27" s="1845"/>
      <c r="G27" s="1846" t="s">
        <v>2438</v>
      </c>
      <c r="H27" s="1851" t="s">
        <v>2438</v>
      </c>
      <c r="I27" s="1831" t="s">
        <v>2443</v>
      </c>
      <c r="J27" s="1833"/>
      <c r="K27" s="1835"/>
    </row>
    <row r="28" spans="1:11" ht="11.25" customHeight="1" x14ac:dyDescent="0.25">
      <c r="A28" s="190" t="s">
        <v>521</v>
      </c>
      <c r="B28" s="597">
        <v>5</v>
      </c>
      <c r="C28" s="1848">
        <v>297327000</v>
      </c>
      <c r="D28" s="1848">
        <v>297327000</v>
      </c>
      <c r="E28" s="1849">
        <v>297327000</v>
      </c>
      <c r="F28" s="1850">
        <v>297327000</v>
      </c>
      <c r="G28" s="1848"/>
      <c r="H28" s="1852"/>
      <c r="I28" s="1853"/>
      <c r="J28" s="1854"/>
      <c r="K28" s="1855"/>
    </row>
    <row r="29" spans="1:11" ht="11.25" customHeight="1" x14ac:dyDescent="0.25">
      <c r="A29" s="190" t="s">
        <v>1392</v>
      </c>
      <c r="B29" s="597"/>
      <c r="C29" s="1848">
        <v>2197991213</v>
      </c>
      <c r="D29" s="1848">
        <v>2197991213</v>
      </c>
      <c r="E29" s="1849">
        <v>2197991213</v>
      </c>
      <c r="F29" s="1850">
        <v>2197991213</v>
      </c>
      <c r="G29" s="1848">
        <v>2197991213</v>
      </c>
      <c r="H29" s="1852">
        <v>2197991213</v>
      </c>
      <c r="I29" s="1853">
        <v>2197991213</v>
      </c>
      <c r="J29" s="1854"/>
      <c r="K29" s="1855"/>
    </row>
    <row r="30" spans="1:11" ht="11.25" customHeight="1" x14ac:dyDescent="0.25">
      <c r="A30" s="181" t="s">
        <v>1531</v>
      </c>
      <c r="B30" s="597"/>
      <c r="C30" s="599"/>
      <c r="D30" s="599"/>
      <c r="E30" s="600"/>
      <c r="F30" s="601"/>
      <c r="G30" s="599"/>
      <c r="H30" s="602"/>
      <c r="I30" s="603"/>
      <c r="J30" s="517"/>
      <c r="K30" s="208"/>
    </row>
    <row r="31" spans="1:11" ht="11.25" customHeight="1" x14ac:dyDescent="0.25">
      <c r="A31" s="190" t="s">
        <v>522</v>
      </c>
      <c r="B31" s="597"/>
      <c r="C31" s="1848"/>
      <c r="D31" s="1848"/>
      <c r="E31" s="1849"/>
      <c r="F31" s="1850"/>
      <c r="G31" s="1848"/>
      <c r="H31" s="1852"/>
      <c r="I31" s="1853"/>
      <c r="J31" s="1854"/>
      <c r="K31" s="1855"/>
    </row>
    <row r="32" spans="1:11" ht="11.25" customHeight="1" x14ac:dyDescent="0.25">
      <c r="A32" s="190" t="s">
        <v>523</v>
      </c>
      <c r="B32" s="597"/>
      <c r="C32" s="1848"/>
      <c r="D32" s="1848"/>
      <c r="E32" s="1849"/>
      <c r="F32" s="1850"/>
      <c r="G32" s="1848"/>
      <c r="H32" s="1852"/>
      <c r="I32" s="1853"/>
      <c r="J32" s="1854"/>
      <c r="K32" s="1855"/>
    </row>
    <row r="33" spans="1:11" ht="11.25" customHeight="1" x14ac:dyDescent="0.25">
      <c r="A33" s="190" t="s">
        <v>524</v>
      </c>
      <c r="B33" s="597"/>
      <c r="C33" s="1848"/>
      <c r="D33" s="1848"/>
      <c r="E33" s="1849"/>
      <c r="F33" s="1850"/>
      <c r="G33" s="1848"/>
      <c r="H33" s="1852"/>
      <c r="I33" s="1853"/>
      <c r="J33" s="1854"/>
      <c r="K33" s="1855"/>
    </row>
    <row r="34" spans="1:11" ht="11.25" customHeight="1" x14ac:dyDescent="0.25">
      <c r="A34" s="190" t="s">
        <v>525</v>
      </c>
      <c r="B34" s="597"/>
      <c r="C34" s="1848"/>
      <c r="D34" s="1848"/>
      <c r="E34" s="1849"/>
      <c r="F34" s="1850"/>
      <c r="G34" s="1848"/>
      <c r="H34" s="1852"/>
      <c r="I34" s="1853"/>
      <c r="J34" s="1854"/>
      <c r="K34" s="1855"/>
    </row>
    <row r="35" spans="1:11" ht="11.25" customHeight="1" x14ac:dyDescent="0.25">
      <c r="A35" s="190" t="s">
        <v>526</v>
      </c>
      <c r="B35" s="597"/>
      <c r="C35" s="1848"/>
      <c r="D35" s="1848"/>
      <c r="E35" s="1849"/>
      <c r="F35" s="1850"/>
      <c r="G35" s="1848"/>
      <c r="H35" s="1852"/>
      <c r="I35" s="1853"/>
      <c r="J35" s="1854"/>
      <c r="K35" s="1855"/>
    </row>
    <row r="36" spans="1:11" ht="11.25" customHeight="1" x14ac:dyDescent="0.25">
      <c r="A36" s="190" t="s">
        <v>527</v>
      </c>
      <c r="B36" s="597"/>
      <c r="C36" s="1848"/>
      <c r="D36" s="1848"/>
      <c r="E36" s="1849"/>
      <c r="F36" s="1850"/>
      <c r="G36" s="1848"/>
      <c r="H36" s="1852"/>
      <c r="I36" s="1853"/>
      <c r="J36" s="1854"/>
      <c r="K36" s="1855"/>
    </row>
    <row r="37" spans="1:11" ht="11.25" customHeight="1" x14ac:dyDescent="0.25">
      <c r="A37" s="326" t="s">
        <v>1532</v>
      </c>
      <c r="B37" s="597"/>
      <c r="C37" s="604">
        <f>SUM(C31:C36)</f>
        <v>0</v>
      </c>
      <c r="D37" s="604">
        <f t="shared" ref="D37:K37" si="0">SUM(D31:D36)</f>
        <v>0</v>
      </c>
      <c r="E37" s="605">
        <f t="shared" si="0"/>
        <v>0</v>
      </c>
      <c r="F37" s="606">
        <f t="shared" si="0"/>
        <v>0</v>
      </c>
      <c r="G37" s="604">
        <f t="shared" si="0"/>
        <v>0</v>
      </c>
      <c r="H37" s="607">
        <f t="shared" si="0"/>
        <v>0</v>
      </c>
      <c r="I37" s="608">
        <f t="shared" si="0"/>
        <v>0</v>
      </c>
      <c r="J37" s="609">
        <f t="shared" si="0"/>
        <v>0</v>
      </c>
      <c r="K37" s="610">
        <f t="shared" si="0"/>
        <v>0</v>
      </c>
    </row>
    <row r="38" spans="1:11" ht="15.75" customHeight="1" x14ac:dyDescent="0.25">
      <c r="A38" s="190" t="s">
        <v>1445</v>
      </c>
      <c r="B38" s="597">
        <v>5</v>
      </c>
      <c r="C38" s="1854"/>
      <c r="D38" s="1854"/>
      <c r="E38" s="1855"/>
      <c r="F38" s="1856"/>
      <c r="G38" s="1854"/>
      <c r="H38" s="1857"/>
      <c r="I38" s="1858"/>
      <c r="J38" s="1854"/>
      <c r="K38" s="1855"/>
    </row>
    <row r="39" spans="1:11" ht="11.25" customHeight="1" x14ac:dyDescent="0.25">
      <c r="A39" s="190" t="s">
        <v>1446</v>
      </c>
      <c r="B39" s="597">
        <v>5</v>
      </c>
      <c r="C39" s="1854"/>
      <c r="D39" s="1854"/>
      <c r="E39" s="1855"/>
      <c r="F39" s="1856"/>
      <c r="G39" s="1854"/>
      <c r="H39" s="1857"/>
      <c r="I39" s="1858"/>
      <c r="J39" s="1859"/>
      <c r="K39" s="1860"/>
    </row>
    <row r="40" spans="1:11" ht="11.25" customHeight="1" x14ac:dyDescent="0.25">
      <c r="A40" s="325" t="s">
        <v>1447</v>
      </c>
      <c r="B40" s="597">
        <v>5</v>
      </c>
      <c r="C40" s="1854"/>
      <c r="D40" s="1854"/>
      <c r="E40" s="1855"/>
      <c r="F40" s="1856"/>
      <c r="G40" s="1854"/>
      <c r="H40" s="1857"/>
      <c r="I40" s="1858"/>
      <c r="J40" s="1854"/>
      <c r="K40" s="1855"/>
    </row>
    <row r="41" spans="1:11" ht="11.25" customHeight="1" x14ac:dyDescent="0.25">
      <c r="A41" s="325" t="s">
        <v>1448</v>
      </c>
      <c r="B41" s="597">
        <v>5</v>
      </c>
      <c r="C41" s="1854"/>
      <c r="D41" s="1848"/>
      <c r="E41" s="1849"/>
      <c r="F41" s="1850"/>
      <c r="G41" s="1848"/>
      <c r="H41" s="1852"/>
      <c r="I41" s="1853"/>
      <c r="J41" s="1854"/>
      <c r="K41" s="1855"/>
    </row>
    <row r="42" spans="1:11" ht="5.15" customHeight="1" x14ac:dyDescent="0.25">
      <c r="A42" s="405"/>
      <c r="B42" s="597"/>
      <c r="C42" s="1672"/>
      <c r="D42" s="1861"/>
      <c r="E42" s="1862"/>
      <c r="F42" s="1863"/>
      <c r="G42" s="1861"/>
      <c r="H42" s="1864"/>
      <c r="I42" s="1865"/>
      <c r="J42" s="1672"/>
      <c r="K42" s="1673"/>
    </row>
    <row r="43" spans="1:11" ht="11.25" customHeight="1" x14ac:dyDescent="0.25">
      <c r="A43" s="614" t="s">
        <v>1533</v>
      </c>
      <c r="B43" s="615"/>
      <c r="C43" s="616"/>
      <c r="D43" s="616"/>
      <c r="E43" s="617"/>
      <c r="F43" s="618"/>
      <c r="G43" s="616"/>
      <c r="H43" s="619"/>
      <c r="I43" s="620"/>
      <c r="J43" s="616"/>
      <c r="K43" s="617"/>
    </row>
    <row r="44" spans="1:11" ht="26.25" customHeight="1" x14ac:dyDescent="0.25">
      <c r="A44" s="477" t="s">
        <v>1444</v>
      </c>
      <c r="B44" s="557"/>
      <c r="C44" s="1826" t="s">
        <v>827</v>
      </c>
      <c r="D44" s="1826" t="s">
        <v>827</v>
      </c>
      <c r="E44" s="1867" t="s">
        <v>827</v>
      </c>
      <c r="F44" s="1868" t="s">
        <v>827</v>
      </c>
      <c r="G44" s="2074"/>
      <c r="H44" s="2075"/>
      <c r="I44" s="1866" t="s">
        <v>827</v>
      </c>
      <c r="J44" s="2074"/>
      <c r="K44" s="2078"/>
    </row>
    <row r="45" spans="1:11" ht="11.25" customHeight="1" x14ac:dyDescent="0.25">
      <c r="A45" s="190" t="s">
        <v>753</v>
      </c>
      <c r="B45" s="557">
        <v>5</v>
      </c>
      <c r="C45" s="1826" t="s">
        <v>425</v>
      </c>
      <c r="D45" s="1826" t="s">
        <v>425</v>
      </c>
      <c r="E45" s="1828" t="s">
        <v>425</v>
      </c>
      <c r="F45" s="1842" t="s">
        <v>425</v>
      </c>
      <c r="G45" s="2076"/>
      <c r="H45" s="2077"/>
      <c r="I45" s="1825" t="s">
        <v>425</v>
      </c>
      <c r="J45" s="2076"/>
      <c r="K45" s="2079"/>
    </row>
    <row r="46" spans="1:11" ht="11.25" customHeight="1" x14ac:dyDescent="0.25">
      <c r="A46" s="190" t="s">
        <v>754</v>
      </c>
      <c r="B46" s="557"/>
      <c r="C46" s="1826" t="s">
        <v>827</v>
      </c>
      <c r="D46" s="1826" t="s">
        <v>827</v>
      </c>
      <c r="E46" s="1828" t="s">
        <v>827</v>
      </c>
      <c r="F46" s="1842" t="s">
        <v>827</v>
      </c>
      <c r="G46" s="1826" t="s">
        <v>827</v>
      </c>
      <c r="H46" s="1827" t="s">
        <v>827</v>
      </c>
      <c r="I46" s="1825" t="s">
        <v>827</v>
      </c>
      <c r="J46" s="1826" t="s">
        <v>827</v>
      </c>
      <c r="K46" s="1828" t="s">
        <v>827</v>
      </c>
    </row>
    <row r="47" spans="1:11" ht="11.25" customHeight="1" x14ac:dyDescent="0.25">
      <c r="A47" s="190" t="s">
        <v>755</v>
      </c>
      <c r="B47" s="557"/>
      <c r="C47" s="1826" t="s">
        <v>827</v>
      </c>
      <c r="D47" s="1826" t="s">
        <v>827</v>
      </c>
      <c r="E47" s="1828" t="s">
        <v>827</v>
      </c>
      <c r="F47" s="1842" t="s">
        <v>827</v>
      </c>
      <c r="G47" s="2076"/>
      <c r="H47" s="2077"/>
      <c r="I47" s="1825" t="s">
        <v>827</v>
      </c>
      <c r="J47" s="2076"/>
      <c r="K47" s="2079"/>
    </row>
    <row r="48" spans="1:11" ht="11.25" customHeight="1" x14ac:dyDescent="0.25">
      <c r="A48" s="190" t="s">
        <v>164</v>
      </c>
      <c r="B48" s="557"/>
      <c r="C48" s="1826" t="s">
        <v>827</v>
      </c>
      <c r="D48" s="1826" t="s">
        <v>827</v>
      </c>
      <c r="E48" s="1828" t="s">
        <v>827</v>
      </c>
      <c r="F48" s="1842" t="s">
        <v>827</v>
      </c>
      <c r="G48" s="1826" t="s">
        <v>827</v>
      </c>
      <c r="H48" s="1827" t="s">
        <v>827</v>
      </c>
      <c r="I48" s="1825" t="s">
        <v>827</v>
      </c>
      <c r="J48" s="1826" t="s">
        <v>827</v>
      </c>
      <c r="K48" s="1828" t="s">
        <v>827</v>
      </c>
    </row>
    <row r="49" spans="1:12" ht="11.25" customHeight="1" x14ac:dyDescent="0.25">
      <c r="A49" s="190" t="s">
        <v>408</v>
      </c>
      <c r="B49" s="557"/>
      <c r="C49" s="1826" t="s">
        <v>827</v>
      </c>
      <c r="D49" s="1826" t="s">
        <v>827</v>
      </c>
      <c r="E49" s="1828" t="s">
        <v>827</v>
      </c>
      <c r="F49" s="1842" t="s">
        <v>827</v>
      </c>
      <c r="G49" s="2076"/>
      <c r="H49" s="2077"/>
      <c r="I49" s="1825" t="s">
        <v>827</v>
      </c>
      <c r="J49" s="2076"/>
      <c r="K49" s="2079"/>
    </row>
    <row r="50" spans="1:12" ht="11.25" customHeight="1" x14ac:dyDescent="0.25">
      <c r="A50" s="190" t="s">
        <v>416</v>
      </c>
      <c r="B50" s="557"/>
      <c r="C50" s="1614">
        <v>60000</v>
      </c>
      <c r="D50" s="1614">
        <v>60000</v>
      </c>
      <c r="E50" s="1634">
        <v>60000</v>
      </c>
      <c r="F50" s="1635">
        <v>60000</v>
      </c>
      <c r="G50" s="2076"/>
      <c r="H50" s="2077"/>
      <c r="I50" s="1636">
        <v>150000</v>
      </c>
      <c r="J50" s="2076"/>
      <c r="K50" s="2079"/>
    </row>
    <row r="51" spans="1:12" ht="11.25" customHeight="1" x14ac:dyDescent="0.25">
      <c r="A51" s="190" t="s">
        <v>528</v>
      </c>
      <c r="B51" s="557"/>
      <c r="C51" s="1869" t="s">
        <v>827</v>
      </c>
      <c r="D51" s="1869" t="s">
        <v>827</v>
      </c>
      <c r="E51" s="1870" t="s">
        <v>827</v>
      </c>
      <c r="F51" s="1871" t="s">
        <v>827</v>
      </c>
      <c r="G51" s="2076"/>
      <c r="H51" s="2077"/>
      <c r="I51" s="1872" t="s">
        <v>827</v>
      </c>
      <c r="J51" s="2076"/>
      <c r="K51" s="2079"/>
    </row>
    <row r="52" spans="1:12" ht="5.15" customHeight="1" x14ac:dyDescent="0.25">
      <c r="A52" s="201"/>
      <c r="B52" s="557"/>
      <c r="C52" s="517"/>
      <c r="D52" s="517"/>
      <c r="E52" s="208"/>
      <c r="F52" s="516"/>
      <c r="G52" s="2076"/>
      <c r="H52" s="2077"/>
      <c r="I52" s="1675"/>
      <c r="J52" s="2076"/>
      <c r="K52" s="2079"/>
    </row>
    <row r="53" spans="1:12" ht="11.25" customHeight="1" x14ac:dyDescent="0.25">
      <c r="A53" s="181" t="s">
        <v>663</v>
      </c>
      <c r="B53" s="557"/>
      <c r="C53" s="517"/>
      <c r="D53" s="517"/>
      <c r="E53" s="208"/>
      <c r="F53" s="516"/>
      <c r="G53" s="2076"/>
      <c r="H53" s="2077"/>
      <c r="I53" s="363"/>
      <c r="J53" s="2076"/>
      <c r="K53" s="2079"/>
    </row>
    <row r="54" spans="1:12" ht="11.25" customHeight="1" x14ac:dyDescent="0.25">
      <c r="A54" s="325" t="s">
        <v>1449</v>
      </c>
      <c r="B54" s="597">
        <v>6</v>
      </c>
      <c r="C54" s="1614">
        <v>338346402</v>
      </c>
      <c r="D54" s="1614"/>
      <c r="E54" s="1634"/>
      <c r="F54" s="1635">
        <v>1719649000</v>
      </c>
      <c r="G54" s="1614"/>
      <c r="H54" s="1617"/>
      <c r="I54" s="1636">
        <v>538819908</v>
      </c>
      <c r="J54" s="1614">
        <v>565760903</v>
      </c>
      <c r="K54" s="1634">
        <v>594048948</v>
      </c>
      <c r="L54" s="370"/>
    </row>
    <row r="55" spans="1:12" ht="11.25" customHeight="1" x14ac:dyDescent="0.25">
      <c r="A55" s="325" t="s">
        <v>1450</v>
      </c>
      <c r="B55" s="597">
        <v>6</v>
      </c>
      <c r="C55" s="1614">
        <v>307838524</v>
      </c>
      <c r="D55" s="1614"/>
      <c r="E55" s="1634"/>
      <c r="F55" s="1635">
        <v>1539085855</v>
      </c>
      <c r="G55" s="1614"/>
      <c r="H55" s="1617"/>
      <c r="I55" s="1636">
        <v>457996922</v>
      </c>
      <c r="J55" s="1614">
        <v>486554377</v>
      </c>
      <c r="K55" s="1634">
        <v>516822585</v>
      </c>
      <c r="L55" s="370"/>
    </row>
    <row r="56" spans="1:12" ht="11.25" customHeight="1" x14ac:dyDescent="0.25">
      <c r="A56" s="190" t="s">
        <v>1572</v>
      </c>
      <c r="B56" s="597"/>
      <c r="C56" s="1873">
        <v>0.90980000000000005</v>
      </c>
      <c r="D56" s="1873"/>
      <c r="E56" s="1874"/>
      <c r="F56" s="1875">
        <v>0.89500000000000002</v>
      </c>
      <c r="G56" s="1873"/>
      <c r="H56" s="1876"/>
      <c r="I56" s="1877">
        <v>0.85000000037118151</v>
      </c>
      <c r="J56" s="1869">
        <v>0.86000000074236305</v>
      </c>
      <c r="K56" s="1870">
        <v>0.87000000040400716</v>
      </c>
    </row>
    <row r="57" spans="1:12" ht="11.25" customHeight="1" x14ac:dyDescent="0.25">
      <c r="A57" s="190" t="s">
        <v>1490</v>
      </c>
      <c r="B57" s="597">
        <v>7</v>
      </c>
      <c r="C57" s="1878"/>
      <c r="D57" s="1878"/>
      <c r="E57" s="1879"/>
      <c r="F57" s="1880"/>
      <c r="G57" s="1878"/>
      <c r="H57" s="1881"/>
      <c r="I57" s="1882"/>
      <c r="J57" s="1614"/>
      <c r="K57" s="1634"/>
    </row>
    <row r="58" spans="1:12" ht="15.75" customHeight="1" x14ac:dyDescent="0.25">
      <c r="A58" s="190" t="s">
        <v>417</v>
      </c>
      <c r="B58" s="597"/>
      <c r="C58" s="1883">
        <v>13840419</v>
      </c>
      <c r="D58" s="1883"/>
      <c r="E58" s="1884"/>
      <c r="F58" s="1885"/>
      <c r="G58" s="1883"/>
      <c r="H58" s="1886"/>
      <c r="I58" s="1887"/>
      <c r="J58" s="1619"/>
      <c r="K58" s="1888"/>
    </row>
    <row r="59" spans="1:12" ht="11.25" customHeight="1" x14ac:dyDescent="0.25">
      <c r="A59" s="190" t="s">
        <v>518</v>
      </c>
      <c r="B59" s="597"/>
      <c r="C59" s="1878">
        <v>258855</v>
      </c>
      <c r="D59" s="1878"/>
      <c r="E59" s="1879"/>
      <c r="F59" s="1880"/>
      <c r="G59" s="1878">
        <v>445898</v>
      </c>
      <c r="H59" s="1881">
        <v>445898</v>
      </c>
      <c r="I59" s="1882">
        <v>477111</v>
      </c>
      <c r="J59" s="1614">
        <v>510509</v>
      </c>
      <c r="K59" s="1634">
        <v>546245</v>
      </c>
    </row>
    <row r="60" spans="1:12" ht="11.25" customHeight="1" x14ac:dyDescent="0.25">
      <c r="A60" s="190" t="s">
        <v>519</v>
      </c>
      <c r="B60" s="597"/>
      <c r="C60" s="1878">
        <v>22945.26</v>
      </c>
      <c r="D60" s="1878"/>
      <c r="E60" s="1879"/>
      <c r="F60" s="1880"/>
      <c r="G60" s="1878">
        <v>1678045</v>
      </c>
      <c r="H60" s="1881">
        <v>1678045</v>
      </c>
      <c r="I60" s="1882">
        <v>1795508</v>
      </c>
      <c r="J60" s="1614">
        <v>1921194</v>
      </c>
      <c r="K60" s="1634">
        <v>2055678</v>
      </c>
    </row>
    <row r="61" spans="1:12" ht="11.25" customHeight="1" x14ac:dyDescent="0.25">
      <c r="A61" s="190" t="s">
        <v>520</v>
      </c>
      <c r="B61" s="597"/>
      <c r="C61" s="1878">
        <v>86835006.739999995</v>
      </c>
      <c r="D61" s="1878"/>
      <c r="E61" s="1879"/>
      <c r="F61" s="1880"/>
      <c r="G61" s="1878"/>
      <c r="H61" s="1881"/>
      <c r="I61" s="1882"/>
      <c r="J61" s="1614"/>
      <c r="K61" s="1634"/>
    </row>
    <row r="62" spans="1:12" ht="11.25" customHeight="1" x14ac:dyDescent="0.25">
      <c r="A62" s="190" t="s">
        <v>1489</v>
      </c>
      <c r="B62" s="597"/>
      <c r="C62" s="1889"/>
      <c r="D62" s="1889"/>
      <c r="E62" s="1890"/>
      <c r="F62" s="1891"/>
      <c r="G62" s="1889">
        <v>4824570</v>
      </c>
      <c r="H62" s="1892">
        <v>4824570</v>
      </c>
      <c r="I62" s="1893">
        <v>3618428</v>
      </c>
      <c r="J62" s="1656">
        <v>2713821</v>
      </c>
      <c r="K62" s="1657">
        <v>2035366</v>
      </c>
    </row>
    <row r="63" spans="1:12" ht="11.25" customHeight="1" x14ac:dyDescent="0.25">
      <c r="A63" s="326" t="s">
        <v>661</v>
      </c>
      <c r="B63" s="597"/>
      <c r="C63" s="394">
        <f>SUM(C58:C62)</f>
        <v>100957226</v>
      </c>
      <c r="D63" s="394">
        <f t="shared" ref="D63:K63" si="1">SUM(D58:D62)</f>
        <v>0</v>
      </c>
      <c r="E63" s="345">
        <f t="shared" si="1"/>
        <v>0</v>
      </c>
      <c r="F63" s="395">
        <f t="shared" si="1"/>
        <v>0</v>
      </c>
      <c r="G63" s="394">
        <f t="shared" si="1"/>
        <v>6948513</v>
      </c>
      <c r="H63" s="624">
        <f t="shared" si="1"/>
        <v>6948513</v>
      </c>
      <c r="I63" s="396">
        <f t="shared" si="1"/>
        <v>5891047</v>
      </c>
      <c r="J63" s="394">
        <f t="shared" si="1"/>
        <v>5145524</v>
      </c>
      <c r="K63" s="345">
        <f t="shared" si="1"/>
        <v>4637289</v>
      </c>
    </row>
    <row r="64" spans="1:12" ht="5.15" customHeight="1" x14ac:dyDescent="0.25">
      <c r="A64" s="336"/>
      <c r="B64" s="625"/>
      <c r="C64" s="626"/>
      <c r="D64" s="626"/>
      <c r="E64" s="627"/>
      <c r="F64" s="628"/>
      <c r="G64" s="629"/>
      <c r="H64" s="630"/>
      <c r="I64" s="631"/>
      <c r="J64" s="626"/>
      <c r="K64" s="627"/>
    </row>
    <row r="65" spans="1:11" s="709" customFormat="1" x14ac:dyDescent="0.25">
      <c r="A65" s="1232" t="str">
        <f>head27a</f>
        <v>References</v>
      </c>
      <c r="B65" s="1038"/>
      <c r="C65" s="1042"/>
      <c r="D65" s="1042"/>
      <c r="E65" s="1042"/>
      <c r="F65" s="1042"/>
      <c r="G65" s="1042"/>
      <c r="H65" s="1042"/>
      <c r="I65" s="1042"/>
      <c r="J65" s="1042"/>
      <c r="K65" s="1042"/>
    </row>
    <row r="66" spans="1:11" s="709" customFormat="1" x14ac:dyDescent="0.25">
      <c r="A66" s="1197" t="s">
        <v>1571</v>
      </c>
      <c r="B66" s="1061"/>
      <c r="C66" s="1061"/>
      <c r="D66" s="1061"/>
      <c r="E66" s="1061"/>
      <c r="F66" s="1061"/>
      <c r="G66" s="1061"/>
      <c r="H66" s="1061"/>
      <c r="I66" s="1061"/>
      <c r="J66" s="1061"/>
      <c r="K66" s="1061"/>
    </row>
    <row r="67" spans="1:11" s="709" customFormat="1" x14ac:dyDescent="0.25">
      <c r="A67" s="1194" t="s">
        <v>1573</v>
      </c>
      <c r="B67" s="1061"/>
      <c r="C67" s="1061"/>
      <c r="D67" s="1061"/>
      <c r="E67" s="1061"/>
      <c r="F67" s="1061"/>
      <c r="G67" s="1061"/>
      <c r="H67" s="1061"/>
      <c r="I67" s="1061"/>
      <c r="J67" s="1061"/>
      <c r="K67" s="1061"/>
    </row>
    <row r="68" spans="1:11" s="709" customFormat="1" x14ac:dyDescent="0.25">
      <c r="A68" s="1194" t="s">
        <v>1574</v>
      </c>
      <c r="B68" s="1061"/>
      <c r="C68" s="1061"/>
      <c r="D68" s="1061"/>
      <c r="E68" s="1062"/>
      <c r="F68" s="1062"/>
      <c r="G68" s="1061"/>
      <c r="H68" s="1061"/>
      <c r="I68" s="1061"/>
      <c r="J68" s="1061"/>
      <c r="K68" s="1061"/>
    </row>
    <row r="69" spans="1:11" s="709" customFormat="1" x14ac:dyDescent="0.25">
      <c r="A69" s="1194" t="s">
        <v>1575</v>
      </c>
      <c r="B69" s="1061"/>
      <c r="C69" s="1061"/>
      <c r="D69" s="1061"/>
      <c r="E69" s="1062"/>
      <c r="F69" s="1062"/>
      <c r="G69" s="1061"/>
      <c r="H69" s="1061"/>
      <c r="I69" s="1061"/>
      <c r="J69" s="1061"/>
      <c r="K69" s="1061"/>
    </row>
    <row r="70" spans="1:11" s="709" customFormat="1" x14ac:dyDescent="0.25">
      <c r="A70" s="1197" t="s">
        <v>1597</v>
      </c>
      <c r="B70" s="1061"/>
      <c r="C70" s="1061"/>
      <c r="D70" s="1061"/>
      <c r="E70" s="1062"/>
      <c r="F70" s="1062"/>
      <c r="G70" s="1061"/>
      <c r="H70" s="1061"/>
      <c r="I70" s="1061"/>
      <c r="J70" s="1061"/>
      <c r="K70" s="1061"/>
    </row>
    <row r="71" spans="1:11" s="709" customFormat="1" x14ac:dyDescent="0.25">
      <c r="A71" s="1197" t="str">
        <f>"6. Current and budget year must reconcile to "&amp;'Template names'!F103</f>
        <v>6. Current and budget year must reconcile to Table A4 Budgeted Financial Performance (revenue and expenditure)</v>
      </c>
      <c r="B71" s="1061"/>
      <c r="C71" s="1061"/>
      <c r="D71" s="1061"/>
      <c r="E71" s="1062"/>
      <c r="F71" s="1062"/>
      <c r="G71" s="1061"/>
      <c r="H71" s="1061"/>
      <c r="I71" s="1061"/>
      <c r="J71" s="1061"/>
      <c r="K71" s="1061"/>
    </row>
    <row r="72" spans="1:11" s="709" customFormat="1" x14ac:dyDescent="0.25">
      <c r="A72" s="1197" t="s">
        <v>662</v>
      </c>
      <c r="B72" s="1061"/>
      <c r="C72" s="1061"/>
      <c r="D72" s="1061"/>
      <c r="E72" s="1062"/>
      <c r="F72" s="1062"/>
      <c r="G72" s="1061"/>
      <c r="H72" s="1061"/>
      <c r="I72" s="1061"/>
      <c r="J72" s="1061"/>
      <c r="K72" s="1061"/>
    </row>
    <row r="73" spans="1:11" x14ac:dyDescent="0.25">
      <c r="A73" s="1197" t="s">
        <v>1595</v>
      </c>
      <c r="B73" s="246"/>
      <c r="C73" s="246"/>
      <c r="D73" s="246"/>
      <c r="E73" s="360"/>
      <c r="F73" s="360"/>
      <c r="G73" s="246"/>
      <c r="H73" s="246"/>
      <c r="I73" s="246"/>
      <c r="J73" s="246"/>
      <c r="K73" s="246"/>
    </row>
    <row r="74" spans="1:11" x14ac:dyDescent="0.25">
      <c r="A74" s="246"/>
      <c r="B74" s="246"/>
      <c r="C74" s="246"/>
      <c r="D74" s="246"/>
      <c r="E74" s="360"/>
      <c r="F74" s="360"/>
      <c r="G74" s="246"/>
      <c r="H74" s="246"/>
      <c r="I74" s="246"/>
      <c r="J74" s="246"/>
      <c r="K74" s="246"/>
    </row>
    <row r="75" spans="1:11" x14ac:dyDescent="0.25">
      <c r="A75" s="246"/>
      <c r="B75" s="236"/>
      <c r="C75" s="240"/>
      <c r="D75" s="240"/>
      <c r="E75" s="241"/>
      <c r="F75" s="241"/>
      <c r="G75" s="241"/>
      <c r="H75" s="241"/>
      <c r="I75" s="241"/>
      <c r="J75" s="241"/>
      <c r="K75" s="241"/>
    </row>
    <row r="76" spans="1:11" x14ac:dyDescent="0.25">
      <c r="A76" s="246"/>
      <c r="B76" s="236"/>
      <c r="C76" s="240"/>
      <c r="D76" s="240"/>
      <c r="E76" s="241"/>
      <c r="F76" s="241"/>
      <c r="G76" s="241"/>
      <c r="H76" s="241"/>
      <c r="I76" s="241"/>
      <c r="J76" s="241"/>
      <c r="K76" s="241"/>
    </row>
    <row r="77" spans="1:11" x14ac:dyDescent="0.25">
      <c r="A77" s="246"/>
      <c r="B77" s="236"/>
      <c r="C77" s="240"/>
      <c r="D77" s="240"/>
      <c r="E77" s="241"/>
      <c r="F77" s="241"/>
      <c r="G77" s="241"/>
      <c r="H77" s="241"/>
      <c r="I77" s="241"/>
      <c r="J77" s="241"/>
      <c r="K77" s="241"/>
    </row>
    <row r="78" spans="1:11" x14ac:dyDescent="0.25">
      <c r="A78" s="246"/>
      <c r="B78" s="236"/>
      <c r="C78" s="240"/>
      <c r="D78" s="240"/>
      <c r="E78" s="241"/>
      <c r="F78" s="241"/>
      <c r="G78" s="241"/>
      <c r="H78" s="241"/>
      <c r="I78" s="241"/>
      <c r="J78" s="241"/>
      <c r="K78" s="241"/>
    </row>
    <row r="79" spans="1:11" ht="11.25" customHeight="1" x14ac:dyDescent="0.25">
      <c r="A79" s="246"/>
      <c r="B79" s="236"/>
      <c r="C79" s="246"/>
      <c r="D79" s="246"/>
      <c r="E79" s="246"/>
      <c r="F79" s="246"/>
      <c r="G79" s="246"/>
    </row>
    <row r="80" spans="1:11" ht="11.25" customHeight="1" x14ac:dyDescent="0.25">
      <c r="A80" s="246"/>
      <c r="B80" s="246"/>
      <c r="C80" s="246"/>
      <c r="D80" s="246"/>
      <c r="E80" s="246"/>
      <c r="F80" s="246"/>
      <c r="G80" s="246"/>
    </row>
    <row r="81" spans="1:7" ht="11.25" customHeight="1" x14ac:dyDescent="0.25">
      <c r="A81" s="246"/>
      <c r="B81" s="246"/>
      <c r="C81" s="246"/>
      <c r="D81" s="246"/>
      <c r="E81" s="246"/>
      <c r="F81" s="246"/>
      <c r="G81" s="246"/>
    </row>
    <row r="82" spans="1:7" ht="11.25" customHeight="1" x14ac:dyDescent="0.25">
      <c r="A82" s="246"/>
      <c r="B82" s="246"/>
      <c r="C82" s="246"/>
      <c r="D82" s="246"/>
      <c r="E82" s="246"/>
      <c r="F82" s="246"/>
      <c r="G82" s="246"/>
    </row>
    <row r="83" spans="1:7" ht="11.25" customHeight="1" x14ac:dyDescent="0.25">
      <c r="A83" s="246"/>
      <c r="B83" s="236"/>
      <c r="C83" s="246"/>
      <c r="D83" s="246"/>
      <c r="E83" s="246"/>
      <c r="F83" s="246"/>
      <c r="G83" s="246"/>
    </row>
    <row r="84" spans="1:7" ht="11.25" customHeight="1" x14ac:dyDescent="0.25"/>
    <row r="85" spans="1:7" ht="11.25" customHeight="1" x14ac:dyDescent="0.25"/>
    <row r="86" spans="1:7" ht="11.25" customHeight="1" x14ac:dyDescent="0.25"/>
    <row r="87" spans="1:7" ht="11.25" customHeight="1" x14ac:dyDescent="0.25"/>
    <row r="88" spans="1:7" ht="11.25" customHeight="1" x14ac:dyDescent="0.25"/>
    <row r="89" spans="1:7" ht="11.25" customHeight="1" x14ac:dyDescent="0.25"/>
    <row r="90" spans="1:7" ht="11.25" customHeight="1" x14ac:dyDescent="0.25"/>
    <row r="91" spans="1:7" ht="11.25" customHeight="1" x14ac:dyDescent="0.25"/>
    <row r="92" spans="1:7" ht="11.25" customHeight="1" x14ac:dyDescent="0.25"/>
    <row r="93" spans="1:7" ht="11.25" customHeight="1" x14ac:dyDescent="0.25"/>
    <row r="94" spans="1:7" ht="11.25" customHeight="1" x14ac:dyDescent="0.25"/>
    <row r="95" spans="1:7" ht="11.25" customHeight="1" x14ac:dyDescent="0.25"/>
    <row r="96" spans="1:7"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sheetData>
  <sheetProtection sheet="1" objects="1" scenarios="1"/>
  <mergeCells count="4">
    <mergeCell ref="F2:H2"/>
    <mergeCell ref="I2:K2"/>
    <mergeCell ref="B2:B4"/>
    <mergeCell ref="A2:A3"/>
  </mergeCells>
  <phoneticPr fontId="2" type="noConversion"/>
  <dataValidations xWindow="491" yWindow="324" count="1">
    <dataValidation type="list" showInputMessage="1" showErrorMessage="1" promptTitle="Guidance" prompt="Select Yes, No or 'blank'" sqref="C8:F9 I16 C16:F16 I8:I9 C49:F49 C44:F47 I49 I44:I47 G46:H46 J46:K46">
      <formula1>List1</formula1>
    </dataValidation>
  </dataValidations>
  <pageMargins left="0.37" right="0.2" top="0.6" bottom="0.5" header="0.5" footer="0.5"/>
  <pageSetup paperSize="9" scale="85"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42"/>
  </sheetPr>
  <dimension ref="A1:S146"/>
  <sheetViews>
    <sheetView showGridLines="0" zoomScaleNormal="100" workbookViewId="0">
      <pane xSplit="2" ySplit="2" topLeftCell="C45" activePane="bottomRight" state="frozen"/>
      <selection pane="topRight"/>
      <selection pane="bottomLeft"/>
      <selection pane="bottomRight" activeCell="G31" sqref="G31"/>
    </sheetView>
  </sheetViews>
  <sheetFormatPr defaultColWidth="9.1796875" defaultRowHeight="10.5" x14ac:dyDescent="0.25"/>
  <cols>
    <col min="1" max="1" width="30.7265625" style="149" customWidth="1"/>
    <col min="2" max="2" width="3" style="654" customWidth="1"/>
    <col min="3" max="18" width="8.1796875" style="149" customWidth="1"/>
    <col min="19" max="19" width="9.81640625" style="149" customWidth="1"/>
    <col min="20" max="20" width="9.54296875" style="149" customWidth="1"/>
    <col min="21" max="21" width="9.81640625" style="149" customWidth="1"/>
    <col min="22" max="24" width="9.54296875" style="149" customWidth="1"/>
    <col min="25" max="25" width="9.81640625" style="149" customWidth="1"/>
    <col min="26" max="28" width="9.54296875" style="149" customWidth="1"/>
    <col min="29" max="30" width="9.81640625" style="149" customWidth="1"/>
    <col min="31" max="16384" width="9.1796875" style="149"/>
  </cols>
  <sheetData>
    <row r="1" spans="1:18" ht="13" x14ac:dyDescent="0.3">
      <c r="A1" s="147" t="str">
        <f>muni&amp;" - "&amp;TableA12a</f>
        <v>KZN225 Msunduzi - Supporting Table SA12a Property rates by category (current year)</v>
      </c>
      <c r="B1" s="633"/>
      <c r="C1" s="147"/>
      <c r="D1" s="147"/>
      <c r="E1" s="147"/>
      <c r="F1" s="147"/>
      <c r="G1" s="147"/>
      <c r="H1" s="147"/>
      <c r="I1" s="147"/>
      <c r="J1" s="147"/>
      <c r="K1" s="147"/>
      <c r="L1" s="147"/>
      <c r="M1" s="147"/>
      <c r="N1" s="147"/>
      <c r="O1" s="147"/>
      <c r="P1" s="147"/>
      <c r="Q1" s="147"/>
      <c r="R1" s="147"/>
    </row>
    <row r="2" spans="1:18" ht="31.5" x14ac:dyDescent="0.25">
      <c r="A2" s="634" t="str">
        <f>desc</f>
        <v>Description</v>
      </c>
      <c r="B2" s="635" t="str">
        <f>head27</f>
        <v>Ref</v>
      </c>
      <c r="C2" s="519" t="s">
        <v>1072</v>
      </c>
      <c r="D2" s="519" t="s">
        <v>1073</v>
      </c>
      <c r="E2" s="519" t="s">
        <v>1074</v>
      </c>
      <c r="F2" s="519" t="s">
        <v>1075</v>
      </c>
      <c r="G2" s="519" t="s">
        <v>1451</v>
      </c>
      <c r="H2" s="519" t="s">
        <v>1534</v>
      </c>
      <c r="I2" s="519" t="s">
        <v>1452</v>
      </c>
      <c r="J2" s="519" t="s">
        <v>1076</v>
      </c>
      <c r="K2" s="519" t="s">
        <v>413</v>
      </c>
      <c r="L2" s="519" t="s">
        <v>1077</v>
      </c>
      <c r="M2" s="519" t="s">
        <v>414</v>
      </c>
      <c r="N2" s="519" t="s">
        <v>1535</v>
      </c>
      <c r="O2" s="519" t="s">
        <v>1078</v>
      </c>
      <c r="P2" s="519" t="s">
        <v>415</v>
      </c>
      <c r="Q2" s="519" t="s">
        <v>1536</v>
      </c>
      <c r="R2" s="636" t="s">
        <v>1537</v>
      </c>
    </row>
    <row r="3" spans="1:18" ht="11.25" customHeight="1" x14ac:dyDescent="0.25">
      <c r="A3" s="249" t="str">
        <f>Head2</f>
        <v>Current Year 2012/13</v>
      </c>
      <c r="B3" s="182"/>
      <c r="C3" s="637"/>
      <c r="D3" s="637"/>
      <c r="E3" s="637"/>
      <c r="F3" s="637"/>
      <c r="G3" s="637"/>
      <c r="H3" s="637"/>
      <c r="I3" s="637"/>
      <c r="J3" s="637"/>
      <c r="K3" s="637"/>
      <c r="L3" s="637"/>
      <c r="M3" s="637"/>
      <c r="N3" s="637"/>
      <c r="O3" s="637"/>
      <c r="P3" s="637"/>
      <c r="Q3" s="637"/>
      <c r="R3" s="638"/>
    </row>
    <row r="4" spans="1:18" ht="11.25" customHeight="1" x14ac:dyDescent="0.25">
      <c r="A4" s="249" t="s">
        <v>757</v>
      </c>
      <c r="B4" s="182"/>
      <c r="C4" s="637"/>
      <c r="D4" s="637"/>
      <c r="E4" s="637"/>
      <c r="F4" s="637"/>
      <c r="G4" s="637"/>
      <c r="H4" s="637"/>
      <c r="I4" s="637"/>
      <c r="J4" s="637"/>
      <c r="K4" s="637"/>
      <c r="L4" s="637"/>
      <c r="M4" s="637"/>
      <c r="N4" s="637"/>
      <c r="O4" s="637"/>
      <c r="P4" s="637"/>
      <c r="Q4" s="637"/>
      <c r="R4" s="638"/>
    </row>
    <row r="5" spans="1:18" ht="11.25" customHeight="1" x14ac:dyDescent="0.25">
      <c r="A5" s="250" t="s">
        <v>410</v>
      </c>
      <c r="B5" s="182"/>
      <c r="C5" s="1666">
        <v>70052</v>
      </c>
      <c r="D5" s="1666">
        <v>5403</v>
      </c>
      <c r="E5" s="1666" t="s">
        <v>2458</v>
      </c>
      <c r="F5" s="1666">
        <v>271</v>
      </c>
      <c r="G5" s="1666" t="s">
        <v>2458</v>
      </c>
      <c r="H5" s="1666">
        <v>9789</v>
      </c>
      <c r="I5" s="1666">
        <v>2888</v>
      </c>
      <c r="J5" s="1666" t="s">
        <v>2458</v>
      </c>
      <c r="K5" s="1666" t="s">
        <v>2458</v>
      </c>
      <c r="L5" s="1666">
        <v>3</v>
      </c>
      <c r="M5" s="1666"/>
      <c r="N5" s="1666"/>
      <c r="O5" s="1666">
        <v>4</v>
      </c>
      <c r="P5" s="1666" t="s">
        <v>2458</v>
      </c>
      <c r="Q5" s="1666">
        <v>81</v>
      </c>
      <c r="R5" s="1894">
        <v>3</v>
      </c>
    </row>
    <row r="6" spans="1:18" ht="11.25" customHeight="1" x14ac:dyDescent="0.25">
      <c r="A6" s="250" t="s">
        <v>1389</v>
      </c>
      <c r="B6" s="182"/>
      <c r="C6" s="1666">
        <v>9300</v>
      </c>
      <c r="D6" s="1666">
        <v>700</v>
      </c>
      <c r="E6" s="1666"/>
      <c r="F6" s="1666"/>
      <c r="G6" s="1666"/>
      <c r="H6" s="1666"/>
      <c r="I6" s="1666"/>
      <c r="J6" s="1666"/>
      <c r="K6" s="1666"/>
      <c r="L6" s="1666"/>
      <c r="M6" s="1666"/>
      <c r="N6" s="1666"/>
      <c r="O6" s="1666"/>
      <c r="P6" s="1666"/>
      <c r="Q6" s="1666"/>
      <c r="R6" s="1894"/>
    </row>
    <row r="7" spans="1:18" ht="11.25" customHeight="1" x14ac:dyDescent="0.25">
      <c r="A7" s="250" t="s">
        <v>412</v>
      </c>
      <c r="B7" s="182"/>
      <c r="C7" s="1666" t="s">
        <v>2458</v>
      </c>
      <c r="D7" s="1666" t="s">
        <v>2458</v>
      </c>
      <c r="E7" s="1666" t="s">
        <v>2458</v>
      </c>
      <c r="F7" s="1666" t="s">
        <v>2458</v>
      </c>
      <c r="G7" s="1666" t="s">
        <v>2458</v>
      </c>
      <c r="H7" s="1666" t="s">
        <v>2458</v>
      </c>
      <c r="I7" s="1666" t="s">
        <v>2458</v>
      </c>
      <c r="J7" s="1666" t="s">
        <v>2458</v>
      </c>
      <c r="K7" s="1666" t="s">
        <v>2458</v>
      </c>
      <c r="L7" s="1666" t="s">
        <v>2458</v>
      </c>
      <c r="M7" s="1666" t="s">
        <v>2458</v>
      </c>
      <c r="N7" s="1666" t="s">
        <v>2458</v>
      </c>
      <c r="O7" s="1666" t="s">
        <v>2458</v>
      </c>
      <c r="P7" s="1666" t="s">
        <v>2458</v>
      </c>
      <c r="Q7" s="1666" t="s">
        <v>2458</v>
      </c>
      <c r="R7" s="1894" t="s">
        <v>2458</v>
      </c>
    </row>
    <row r="8" spans="1:18" ht="11.25" customHeight="1" x14ac:dyDescent="0.25">
      <c r="A8" s="250" t="s">
        <v>748</v>
      </c>
      <c r="B8" s="182"/>
      <c r="C8" s="1666"/>
      <c r="D8" s="1666"/>
      <c r="E8" s="1666"/>
      <c r="F8" s="1666"/>
      <c r="G8" s="1666"/>
      <c r="H8" s="1666"/>
      <c r="I8" s="1666"/>
      <c r="J8" s="1666"/>
      <c r="K8" s="1666"/>
      <c r="L8" s="1666"/>
      <c r="M8" s="1666"/>
      <c r="N8" s="1666"/>
      <c r="O8" s="1666"/>
      <c r="P8" s="1666"/>
      <c r="Q8" s="1666"/>
      <c r="R8" s="1894"/>
    </row>
    <row r="9" spans="1:18" ht="11.25" customHeight="1" x14ac:dyDescent="0.25">
      <c r="A9" s="250" t="s">
        <v>1390</v>
      </c>
      <c r="B9" s="182"/>
      <c r="C9" s="1666"/>
      <c r="D9" s="1666"/>
      <c r="E9" s="1666"/>
      <c r="F9" s="1666"/>
      <c r="G9" s="1666"/>
      <c r="H9" s="1666"/>
      <c r="I9" s="1666"/>
      <c r="J9" s="1666"/>
      <c r="K9" s="1666"/>
      <c r="L9" s="1666"/>
      <c r="M9" s="1666"/>
      <c r="N9" s="1666"/>
      <c r="O9" s="1666"/>
      <c r="P9" s="1666"/>
      <c r="Q9" s="1666"/>
      <c r="R9" s="1894"/>
    </row>
    <row r="10" spans="1:18" ht="11.25" customHeight="1" x14ac:dyDescent="0.25">
      <c r="A10" s="250" t="s">
        <v>749</v>
      </c>
      <c r="B10" s="182"/>
      <c r="C10" s="1666"/>
      <c r="D10" s="1666"/>
      <c r="E10" s="1666"/>
      <c r="F10" s="1666"/>
      <c r="G10" s="1666"/>
      <c r="H10" s="1666"/>
      <c r="I10" s="1666"/>
      <c r="J10" s="1666"/>
      <c r="K10" s="1666"/>
      <c r="L10" s="1666"/>
      <c r="M10" s="1666"/>
      <c r="N10" s="1666"/>
      <c r="O10" s="1666"/>
      <c r="P10" s="1666"/>
      <c r="Q10" s="1666"/>
      <c r="R10" s="1894"/>
    </row>
    <row r="11" spans="1:18" ht="11.25" customHeight="1" x14ac:dyDescent="0.25">
      <c r="A11" s="250" t="s">
        <v>367</v>
      </c>
      <c r="B11" s="182"/>
      <c r="C11" s="1666"/>
      <c r="D11" s="1666"/>
      <c r="E11" s="1666"/>
      <c r="F11" s="1666"/>
      <c r="G11" s="1666"/>
      <c r="H11" s="1666"/>
      <c r="I11" s="1666"/>
      <c r="J11" s="1666"/>
      <c r="K11" s="1666"/>
      <c r="L11" s="1666"/>
      <c r="M11" s="1666"/>
      <c r="N11" s="1666"/>
      <c r="O11" s="1666"/>
      <c r="P11" s="1666"/>
      <c r="Q11" s="1666"/>
      <c r="R11" s="1894"/>
    </row>
    <row r="12" spans="1:18" ht="11.25" customHeight="1" x14ac:dyDescent="0.25">
      <c r="A12" s="250" t="s">
        <v>368</v>
      </c>
      <c r="B12" s="182"/>
      <c r="C12" s="1666"/>
      <c r="D12" s="1666"/>
      <c r="E12" s="1666"/>
      <c r="F12" s="1666"/>
      <c r="G12" s="1666"/>
      <c r="H12" s="1666"/>
      <c r="I12" s="1666"/>
      <c r="J12" s="1666"/>
      <c r="K12" s="1666"/>
      <c r="L12" s="1666"/>
      <c r="M12" s="1666"/>
      <c r="N12" s="1666"/>
      <c r="O12" s="1666"/>
      <c r="P12" s="1666"/>
      <c r="Q12" s="1666"/>
      <c r="R12" s="1894"/>
    </row>
    <row r="13" spans="1:18" ht="11.25" customHeight="1" x14ac:dyDescent="0.25">
      <c r="A13" s="250" t="s">
        <v>369</v>
      </c>
      <c r="B13" s="182"/>
      <c r="C13" s="1666"/>
      <c r="D13" s="1666"/>
      <c r="E13" s="1666"/>
      <c r="F13" s="1666"/>
      <c r="G13" s="1666"/>
      <c r="H13" s="1666"/>
      <c r="I13" s="1666"/>
      <c r="J13" s="1666"/>
      <c r="K13" s="1666"/>
      <c r="L13" s="1666"/>
      <c r="M13" s="1666"/>
      <c r="N13" s="1666"/>
      <c r="O13" s="1666"/>
      <c r="P13" s="1666"/>
      <c r="Q13" s="1666"/>
      <c r="R13" s="1894"/>
    </row>
    <row r="14" spans="1:18" ht="11.25" customHeight="1" x14ac:dyDescent="0.25">
      <c r="A14" s="250" t="s">
        <v>759</v>
      </c>
      <c r="B14" s="182">
        <v>5</v>
      </c>
      <c r="C14" s="1666"/>
      <c r="D14" s="1666"/>
      <c r="E14" s="1666"/>
      <c r="F14" s="1666"/>
      <c r="G14" s="1666"/>
      <c r="H14" s="1666"/>
      <c r="I14" s="1666"/>
      <c r="J14" s="1666"/>
      <c r="K14" s="1666"/>
      <c r="L14" s="1666"/>
      <c r="M14" s="1666"/>
      <c r="N14" s="1666"/>
      <c r="O14" s="1666"/>
      <c r="P14" s="1666"/>
      <c r="Q14" s="1666"/>
      <c r="R14" s="1894"/>
    </row>
    <row r="15" spans="1:18" ht="11.25" customHeight="1" x14ac:dyDescent="0.25">
      <c r="A15" s="250" t="s">
        <v>747</v>
      </c>
      <c r="B15" s="182">
        <v>5</v>
      </c>
      <c r="C15" s="1666"/>
      <c r="D15" s="1666"/>
      <c r="E15" s="1666"/>
      <c r="F15" s="1666"/>
      <c r="G15" s="1666"/>
      <c r="H15" s="1666"/>
      <c r="I15" s="1666"/>
      <c r="J15" s="1666"/>
      <c r="K15" s="1666"/>
      <c r="L15" s="1666"/>
      <c r="M15" s="1666"/>
      <c r="N15" s="1666"/>
      <c r="O15" s="1666"/>
      <c r="P15" s="1666"/>
      <c r="Q15" s="1666"/>
      <c r="R15" s="1894"/>
    </row>
    <row r="16" spans="1:18" ht="11.25" customHeight="1" x14ac:dyDescent="0.25">
      <c r="A16" s="254" t="s">
        <v>1391</v>
      </c>
      <c r="B16" s="350"/>
      <c r="C16" s="1661"/>
      <c r="D16" s="1661"/>
      <c r="E16" s="1661"/>
      <c r="F16" s="1661"/>
      <c r="G16" s="1661"/>
      <c r="H16" s="1661"/>
      <c r="I16" s="1672"/>
      <c r="J16" s="1661"/>
      <c r="K16" s="1661"/>
      <c r="L16" s="1661"/>
      <c r="M16" s="1661"/>
      <c r="N16" s="1661"/>
      <c r="O16" s="1661"/>
      <c r="P16" s="1661"/>
      <c r="Q16" s="1661"/>
      <c r="R16" s="1895"/>
    </row>
    <row r="17" spans="1:18" ht="11.25" customHeight="1" x14ac:dyDescent="0.25">
      <c r="A17" s="250" t="s">
        <v>1673</v>
      </c>
      <c r="B17" s="182"/>
      <c r="C17" s="1826"/>
      <c r="D17" s="1826"/>
      <c r="E17" s="1826"/>
      <c r="F17" s="1826"/>
      <c r="G17" s="1826"/>
      <c r="H17" s="1826"/>
      <c r="I17" s="1826"/>
      <c r="J17" s="1826"/>
      <c r="K17" s="1826"/>
      <c r="L17" s="1826"/>
      <c r="M17" s="1826"/>
      <c r="N17" s="1826"/>
      <c r="O17" s="1826"/>
      <c r="P17" s="1826"/>
      <c r="Q17" s="1826"/>
      <c r="R17" s="1827"/>
    </row>
    <row r="18" spans="1:18" ht="11.25" customHeight="1" x14ac:dyDescent="0.25">
      <c r="A18" s="250" t="s">
        <v>1674</v>
      </c>
      <c r="B18" s="182"/>
      <c r="C18" s="1826"/>
      <c r="D18" s="1896"/>
      <c r="E18" s="1896"/>
      <c r="F18" s="1896"/>
      <c r="G18" s="1896"/>
      <c r="H18" s="1896"/>
      <c r="I18" s="1896"/>
      <c r="J18" s="1896"/>
      <c r="K18" s="1896"/>
      <c r="L18" s="1896"/>
      <c r="M18" s="1896"/>
      <c r="N18" s="1896"/>
      <c r="O18" s="1896"/>
      <c r="P18" s="1896"/>
      <c r="Q18" s="1896"/>
      <c r="R18" s="1897"/>
    </row>
    <row r="19" spans="1:18" ht="11.25" customHeight="1" x14ac:dyDescent="0.25">
      <c r="A19" s="250" t="s">
        <v>1675</v>
      </c>
      <c r="B19" s="182"/>
      <c r="C19" s="1826"/>
      <c r="D19" s="1826"/>
      <c r="E19" s="1826"/>
      <c r="F19" s="1826"/>
      <c r="G19" s="1826"/>
      <c r="H19" s="1826"/>
      <c r="I19" s="1826"/>
      <c r="J19" s="1826"/>
      <c r="K19" s="1826"/>
      <c r="L19" s="1826"/>
      <c r="M19" s="1826"/>
      <c r="N19" s="1826"/>
      <c r="O19" s="1826"/>
      <c r="P19" s="1826"/>
      <c r="Q19" s="1826"/>
      <c r="R19" s="1827"/>
    </row>
    <row r="20" spans="1:18" ht="11.25" customHeight="1" x14ac:dyDescent="0.25">
      <c r="A20" s="250" t="s">
        <v>1676</v>
      </c>
      <c r="B20" s="182"/>
      <c r="C20" s="1826"/>
      <c r="D20" s="1826"/>
      <c r="E20" s="1826"/>
      <c r="F20" s="1826"/>
      <c r="G20" s="1826"/>
      <c r="H20" s="1826"/>
      <c r="I20" s="1826"/>
      <c r="J20" s="1826"/>
      <c r="K20" s="1826"/>
      <c r="L20" s="1826"/>
      <c r="M20" s="1826"/>
      <c r="N20" s="1826"/>
      <c r="O20" s="1826"/>
      <c r="P20" s="1826"/>
      <c r="Q20" s="1826"/>
      <c r="R20" s="1827"/>
    </row>
    <row r="21" spans="1:18" ht="11.25" customHeight="1" x14ac:dyDescent="0.25">
      <c r="A21" s="250" t="s">
        <v>164</v>
      </c>
      <c r="B21" s="182"/>
      <c r="C21" s="1826"/>
      <c r="D21" s="1826"/>
      <c r="E21" s="1826"/>
      <c r="F21" s="1826"/>
      <c r="G21" s="1826"/>
      <c r="H21" s="1826"/>
      <c r="I21" s="1826"/>
      <c r="J21" s="1826"/>
      <c r="K21" s="1826"/>
      <c r="L21" s="1826"/>
      <c r="M21" s="1826"/>
      <c r="N21" s="1826"/>
      <c r="O21" s="1826"/>
      <c r="P21" s="1826"/>
      <c r="Q21" s="1826"/>
      <c r="R21" s="1827"/>
    </row>
    <row r="22" spans="1:18" ht="11.25" customHeight="1" x14ac:dyDescent="0.25">
      <c r="A22" s="250" t="s">
        <v>676</v>
      </c>
      <c r="B22" s="639"/>
      <c r="C22" s="1826"/>
      <c r="D22" s="1826"/>
      <c r="E22" s="1826"/>
      <c r="F22" s="1826"/>
      <c r="G22" s="1826"/>
      <c r="H22" s="1826"/>
      <c r="I22" s="1826"/>
      <c r="J22" s="1826"/>
      <c r="K22" s="1826"/>
      <c r="L22" s="1826"/>
      <c r="M22" s="1826"/>
      <c r="N22" s="1826"/>
      <c r="O22" s="1826"/>
      <c r="P22" s="1826"/>
      <c r="Q22" s="1826"/>
      <c r="R22" s="1827"/>
    </row>
    <row r="23" spans="1:18" ht="11.25" customHeight="1" x14ac:dyDescent="0.25">
      <c r="A23" s="250" t="s">
        <v>677</v>
      </c>
      <c r="B23" s="639"/>
      <c r="C23" s="1826"/>
      <c r="D23" s="1826"/>
      <c r="E23" s="1826"/>
      <c r="F23" s="1826"/>
      <c r="G23" s="1826"/>
      <c r="H23" s="1826"/>
      <c r="I23" s="1826"/>
      <c r="J23" s="1826"/>
      <c r="K23" s="1826"/>
      <c r="L23" s="1826"/>
      <c r="M23" s="1826"/>
      <c r="N23" s="1826"/>
      <c r="O23" s="1826"/>
      <c r="P23" s="1826"/>
      <c r="Q23" s="1826"/>
      <c r="R23" s="1827"/>
    </row>
    <row r="24" spans="1:18" ht="11.25" customHeight="1" x14ac:dyDescent="0.25">
      <c r="A24" s="250" t="s">
        <v>312</v>
      </c>
      <c r="B24" s="639"/>
      <c r="C24" s="1826"/>
      <c r="D24" s="1826"/>
      <c r="E24" s="1826"/>
      <c r="F24" s="1826"/>
      <c r="G24" s="1826"/>
      <c r="H24" s="1826"/>
      <c r="I24" s="1826"/>
      <c r="J24" s="1826"/>
      <c r="K24" s="1826"/>
      <c r="L24" s="1826"/>
      <c r="M24" s="1826"/>
      <c r="N24" s="1826"/>
      <c r="O24" s="1826"/>
      <c r="P24" s="1826"/>
      <c r="Q24" s="1826"/>
      <c r="R24" s="1827"/>
    </row>
    <row r="25" spans="1:18" ht="11.25" customHeight="1" x14ac:dyDescent="0.25">
      <c r="A25" s="249" t="s">
        <v>1531</v>
      </c>
      <c r="B25" s="182"/>
      <c r="C25" s="599"/>
      <c r="D25" s="599"/>
      <c r="E25" s="599"/>
      <c r="F25" s="599"/>
      <c r="G25" s="599"/>
      <c r="H25" s="599"/>
      <c r="I25" s="599"/>
      <c r="J25" s="599"/>
      <c r="K25" s="599"/>
      <c r="L25" s="599"/>
      <c r="M25" s="599"/>
      <c r="N25" s="599"/>
      <c r="O25" s="599"/>
      <c r="P25" s="599"/>
      <c r="Q25" s="599"/>
      <c r="R25" s="602"/>
    </row>
    <row r="26" spans="1:18" ht="11.25" customHeight="1" x14ac:dyDescent="0.25">
      <c r="A26" s="250" t="s">
        <v>522</v>
      </c>
      <c r="B26" s="182"/>
      <c r="C26" s="1848"/>
      <c r="D26" s="1848"/>
      <c r="E26" s="1848"/>
      <c r="F26" s="1848"/>
      <c r="G26" s="1848"/>
      <c r="H26" s="1848"/>
      <c r="I26" s="1848">
        <v>28395700</v>
      </c>
      <c r="J26" s="1848"/>
      <c r="K26" s="1848"/>
      <c r="L26" s="1848"/>
      <c r="M26" s="1848"/>
      <c r="N26" s="1848"/>
      <c r="O26" s="1848"/>
      <c r="P26" s="1848"/>
      <c r="Q26" s="1848"/>
      <c r="R26" s="1852"/>
    </row>
    <row r="27" spans="1:18" ht="11.25" customHeight="1" x14ac:dyDescent="0.25">
      <c r="A27" s="250" t="s">
        <v>523</v>
      </c>
      <c r="B27" s="182"/>
      <c r="C27" s="1848"/>
      <c r="D27" s="1848"/>
      <c r="E27" s="1848"/>
      <c r="F27" s="1848"/>
      <c r="G27" s="1848"/>
      <c r="H27" s="1848"/>
      <c r="I27" s="1848"/>
      <c r="J27" s="1848"/>
      <c r="K27" s="1848"/>
      <c r="L27" s="1848"/>
      <c r="M27" s="1848"/>
      <c r="N27" s="1848"/>
      <c r="O27" s="1848"/>
      <c r="P27" s="1848"/>
      <c r="Q27" s="1848"/>
      <c r="R27" s="1852"/>
    </row>
    <row r="28" spans="1:18" ht="11.25" customHeight="1" x14ac:dyDescent="0.25">
      <c r="A28" s="250" t="s">
        <v>524</v>
      </c>
      <c r="B28" s="182"/>
      <c r="C28" s="1848"/>
      <c r="D28" s="1848"/>
      <c r="E28" s="1848"/>
      <c r="F28" s="1848"/>
      <c r="G28" s="1848"/>
      <c r="H28" s="1848"/>
      <c r="I28" s="1848"/>
      <c r="J28" s="1848"/>
      <c r="K28" s="1848"/>
      <c r="L28" s="1848"/>
      <c r="M28" s="1848"/>
      <c r="N28" s="1848"/>
      <c r="O28" s="1848"/>
      <c r="P28" s="1848"/>
      <c r="Q28" s="1848"/>
      <c r="R28" s="1852"/>
    </row>
    <row r="29" spans="1:18" ht="11.25" customHeight="1" x14ac:dyDescent="0.25">
      <c r="A29" s="250" t="s">
        <v>525</v>
      </c>
      <c r="B29" s="182"/>
      <c r="C29" s="1848">
        <v>1022085000</v>
      </c>
      <c r="D29" s="1848"/>
      <c r="E29" s="1848"/>
      <c r="F29" s="1848"/>
      <c r="G29" s="1848"/>
      <c r="H29" s="1848"/>
      <c r="I29" s="1848"/>
      <c r="J29" s="1848"/>
      <c r="K29" s="1848"/>
      <c r="L29" s="1848"/>
      <c r="M29" s="1848"/>
      <c r="N29" s="1848"/>
      <c r="O29" s="1848"/>
      <c r="P29" s="1848"/>
      <c r="Q29" s="1848"/>
      <c r="R29" s="1852"/>
    </row>
    <row r="30" spans="1:18" ht="11.25" customHeight="1" x14ac:dyDescent="0.25">
      <c r="A30" s="250" t="s">
        <v>526</v>
      </c>
      <c r="B30" s="182"/>
      <c r="C30" s="1848"/>
      <c r="D30" s="1848"/>
      <c r="E30" s="1848"/>
      <c r="F30" s="1848"/>
      <c r="G30" s="1848"/>
      <c r="H30" s="1848"/>
      <c r="I30" s="1848"/>
      <c r="J30" s="1848"/>
      <c r="K30" s="1848"/>
      <c r="L30" s="1848"/>
      <c r="M30" s="1848"/>
      <c r="N30" s="1848"/>
      <c r="O30" s="1848"/>
      <c r="P30" s="1848"/>
      <c r="Q30" s="1848"/>
      <c r="R30" s="1852"/>
    </row>
    <row r="31" spans="1:18" ht="11.25" customHeight="1" x14ac:dyDescent="0.25">
      <c r="A31" s="250" t="s">
        <v>527</v>
      </c>
      <c r="B31" s="639">
        <v>2</v>
      </c>
      <c r="C31" s="1848"/>
      <c r="D31" s="1848"/>
      <c r="E31" s="1848"/>
      <c r="F31" s="1848"/>
      <c r="G31" s="1848"/>
      <c r="H31" s="1848"/>
      <c r="I31" s="1848"/>
      <c r="J31" s="1848"/>
      <c r="K31" s="1848"/>
      <c r="L31" s="1848"/>
      <c r="M31" s="1848"/>
      <c r="N31" s="1848"/>
      <c r="O31" s="1848"/>
      <c r="P31" s="1848"/>
      <c r="Q31" s="1848"/>
      <c r="R31" s="1852"/>
    </row>
    <row r="32" spans="1:18" ht="11.25" customHeight="1" x14ac:dyDescent="0.25">
      <c r="A32" s="265" t="s">
        <v>1532</v>
      </c>
      <c r="B32" s="182"/>
      <c r="C32" s="640"/>
      <c r="D32" s="640"/>
      <c r="E32" s="640"/>
      <c r="F32" s="640"/>
      <c r="G32" s="640"/>
      <c r="H32" s="640"/>
      <c r="I32" s="640"/>
      <c r="J32" s="640"/>
      <c r="K32" s="640"/>
      <c r="L32" s="640"/>
      <c r="M32" s="640"/>
      <c r="N32" s="640"/>
      <c r="O32" s="640"/>
      <c r="P32" s="640"/>
      <c r="Q32" s="640"/>
      <c r="R32" s="641"/>
    </row>
    <row r="33" spans="1:19" ht="15.75" customHeight="1" x14ac:dyDescent="0.25">
      <c r="A33" s="250" t="s">
        <v>1445</v>
      </c>
      <c r="B33" s="182">
        <v>6</v>
      </c>
      <c r="C33" s="1854"/>
      <c r="D33" s="1854"/>
      <c r="E33" s="1854"/>
      <c r="F33" s="1854"/>
      <c r="G33" s="1854"/>
      <c r="H33" s="1854"/>
      <c r="I33" s="1854"/>
      <c r="J33" s="1854"/>
      <c r="K33" s="1854"/>
      <c r="L33" s="1854"/>
      <c r="M33" s="1854"/>
      <c r="N33" s="1854"/>
      <c r="O33" s="1854"/>
      <c r="P33" s="1854"/>
      <c r="Q33" s="1854"/>
      <c r="R33" s="1857"/>
    </row>
    <row r="34" spans="1:19" ht="11.25" customHeight="1" x14ac:dyDescent="0.25">
      <c r="A34" s="250" t="s">
        <v>1446</v>
      </c>
      <c r="B34" s="182">
        <v>6</v>
      </c>
      <c r="C34" s="1854"/>
      <c r="D34" s="1854"/>
      <c r="E34" s="1854"/>
      <c r="F34" s="1854"/>
      <c r="G34" s="1854"/>
      <c r="H34" s="1854"/>
      <c r="I34" s="1854"/>
      <c r="J34" s="1854"/>
      <c r="K34" s="1854"/>
      <c r="L34" s="1854"/>
      <c r="M34" s="1854"/>
      <c r="N34" s="1854"/>
      <c r="O34" s="1854"/>
      <c r="P34" s="1854"/>
      <c r="Q34" s="1854"/>
      <c r="R34" s="1857"/>
    </row>
    <row r="35" spans="1:19" ht="11.25" customHeight="1" x14ac:dyDescent="0.25">
      <c r="A35" s="250" t="s">
        <v>1447</v>
      </c>
      <c r="B35" s="182">
        <v>6</v>
      </c>
      <c r="C35" s="1854"/>
      <c r="D35" s="1854"/>
      <c r="E35" s="1854"/>
      <c r="F35" s="1854"/>
      <c r="G35" s="1854"/>
      <c r="H35" s="1854"/>
      <c r="I35" s="1854"/>
      <c r="J35" s="1854"/>
      <c r="K35" s="1854"/>
      <c r="L35" s="1854"/>
      <c r="M35" s="1854"/>
      <c r="N35" s="1854"/>
      <c r="O35" s="1854"/>
      <c r="P35" s="1854"/>
      <c r="Q35" s="1854"/>
      <c r="R35" s="1857"/>
    </row>
    <row r="36" spans="1:19" ht="11.25" customHeight="1" x14ac:dyDescent="0.25">
      <c r="A36" s="250" t="s">
        <v>1448</v>
      </c>
      <c r="B36" s="182">
        <v>6</v>
      </c>
      <c r="C36" s="1859"/>
      <c r="D36" s="1859"/>
      <c r="E36" s="1859"/>
      <c r="F36" s="1859"/>
      <c r="G36" s="1859"/>
      <c r="H36" s="1859"/>
      <c r="I36" s="1859"/>
      <c r="J36" s="1859"/>
      <c r="K36" s="1859"/>
      <c r="L36" s="1859"/>
      <c r="M36" s="1859"/>
      <c r="N36" s="1859"/>
      <c r="O36" s="1859"/>
      <c r="P36" s="1859"/>
      <c r="Q36" s="1859"/>
      <c r="R36" s="1898"/>
    </row>
    <row r="37" spans="1:19" ht="15.75" customHeight="1" x14ac:dyDescent="0.25">
      <c r="A37" s="642" t="s">
        <v>1533</v>
      </c>
      <c r="B37" s="643"/>
      <c r="C37" s="644"/>
      <c r="D37" s="644"/>
      <c r="E37" s="644"/>
      <c r="F37" s="644"/>
      <c r="G37" s="644"/>
      <c r="H37" s="644"/>
      <c r="I37" s="644"/>
      <c r="J37" s="644"/>
      <c r="K37" s="644"/>
      <c r="L37" s="644"/>
      <c r="M37" s="644"/>
      <c r="N37" s="644"/>
      <c r="O37" s="644"/>
      <c r="P37" s="644"/>
      <c r="Q37" s="644"/>
      <c r="R37" s="645"/>
    </row>
    <row r="38" spans="1:19" ht="11.25" customHeight="1" x14ac:dyDescent="0.25">
      <c r="A38" s="254" t="s">
        <v>311</v>
      </c>
      <c r="B38" s="646">
        <v>3</v>
      </c>
      <c r="C38" s="1899">
        <v>1.11E-2</v>
      </c>
      <c r="D38" s="1899"/>
      <c r="E38" s="1899">
        <v>1.9599999999999999E-2</v>
      </c>
      <c r="F38" s="1899">
        <v>2.7000000000000001E-3</v>
      </c>
      <c r="G38" s="1899"/>
      <c r="H38" s="1899"/>
      <c r="I38" s="1899">
        <v>2.7000000000000001E-3</v>
      </c>
      <c r="J38" s="1899"/>
      <c r="K38" s="1899"/>
      <c r="L38" s="1899">
        <v>1.2999999999999999E-2</v>
      </c>
      <c r="M38" s="1899"/>
      <c r="N38" s="1899"/>
      <c r="O38" s="1899"/>
      <c r="P38" s="1899"/>
      <c r="Q38" s="1899"/>
      <c r="R38" s="1900">
        <v>1.9599999999999999E-2</v>
      </c>
      <c r="S38" s="370"/>
    </row>
    <row r="39" spans="1:19" ht="11.25" customHeight="1" x14ac:dyDescent="0.25">
      <c r="A39" s="254" t="s">
        <v>1449</v>
      </c>
      <c r="B39" s="646"/>
      <c r="C39" s="1614">
        <v>227019182</v>
      </c>
      <c r="D39" s="1614"/>
      <c r="E39" s="1614">
        <v>275064450</v>
      </c>
      <c r="F39" s="1614">
        <v>535147</v>
      </c>
      <c r="G39" s="1614"/>
      <c r="H39" s="1614"/>
      <c r="I39" s="1614">
        <v>443454</v>
      </c>
      <c r="J39" s="1614"/>
      <c r="K39" s="1614"/>
      <c r="L39" s="1614">
        <v>339140</v>
      </c>
      <c r="M39" s="1614"/>
      <c r="N39" s="1614"/>
      <c r="O39" s="1614"/>
      <c r="P39" s="1614"/>
      <c r="Q39" s="1614"/>
      <c r="R39" s="1617"/>
      <c r="S39" s="647">
        <f>SUM(C39:R39)</f>
        <v>503401373</v>
      </c>
    </row>
    <row r="40" spans="1:19" ht="11.25" customHeight="1" x14ac:dyDescent="0.25">
      <c r="A40" s="254" t="s">
        <v>1450</v>
      </c>
      <c r="B40" s="646"/>
      <c r="C40" s="1614">
        <v>183885537</v>
      </c>
      <c r="D40" s="1614"/>
      <c r="E40" s="1614">
        <v>228303493</v>
      </c>
      <c r="F40" s="1614">
        <v>481632</v>
      </c>
      <c r="G40" s="1614"/>
      <c r="H40" s="1614"/>
      <c r="I40" s="1614">
        <v>337025</v>
      </c>
      <c r="J40" s="1614"/>
      <c r="K40" s="1614"/>
      <c r="L40" s="1614">
        <v>0</v>
      </c>
      <c r="M40" s="1614"/>
      <c r="N40" s="1614"/>
      <c r="O40" s="1614"/>
      <c r="P40" s="1614"/>
      <c r="Q40" s="1614"/>
      <c r="R40" s="1617"/>
      <c r="S40" s="647">
        <f>SUM(C40:R40)</f>
        <v>413007687</v>
      </c>
    </row>
    <row r="41" spans="1:19" ht="11.25" customHeight="1" x14ac:dyDescent="0.25">
      <c r="A41" s="254" t="s">
        <v>1572</v>
      </c>
      <c r="B41" s="646">
        <v>4</v>
      </c>
      <c r="C41" s="1873">
        <v>0.80999999814993606</v>
      </c>
      <c r="D41" s="1873"/>
      <c r="E41" s="1873">
        <v>0.82999999818224424</v>
      </c>
      <c r="F41" s="1873">
        <v>0.89999943940636873</v>
      </c>
      <c r="G41" s="1873"/>
      <c r="H41" s="1873"/>
      <c r="I41" s="1873">
        <v>0.75999990979898702</v>
      </c>
      <c r="J41" s="1873"/>
      <c r="K41" s="1873"/>
      <c r="L41" s="1873">
        <v>0</v>
      </c>
      <c r="M41" s="1873"/>
      <c r="N41" s="1873"/>
      <c r="O41" s="1873"/>
      <c r="P41" s="1873"/>
      <c r="Q41" s="1873"/>
      <c r="R41" s="1876"/>
    </row>
    <row r="42" spans="1:19" ht="11.25" customHeight="1" x14ac:dyDescent="0.25">
      <c r="A42" s="254" t="s">
        <v>1490</v>
      </c>
      <c r="B42" s="646"/>
      <c r="C42" s="1637"/>
      <c r="D42" s="1637"/>
      <c r="E42" s="1637"/>
      <c r="F42" s="1637"/>
      <c r="G42" s="1637"/>
      <c r="H42" s="1637"/>
      <c r="I42" s="1637"/>
      <c r="J42" s="1637"/>
      <c r="K42" s="1637"/>
      <c r="L42" s="1637"/>
      <c r="M42" s="1637"/>
      <c r="N42" s="1637"/>
      <c r="O42" s="1637"/>
      <c r="P42" s="1637"/>
      <c r="Q42" s="1637"/>
      <c r="R42" s="1646"/>
      <c r="S42" s="370"/>
    </row>
    <row r="43" spans="1:19" ht="15.75" customHeight="1" x14ac:dyDescent="0.25">
      <c r="A43" s="254" t="s">
        <v>417</v>
      </c>
      <c r="B43" s="646"/>
      <c r="C43" s="1901"/>
      <c r="D43" s="1901"/>
      <c r="E43" s="1901"/>
      <c r="F43" s="1901"/>
      <c r="G43" s="1901"/>
      <c r="H43" s="1901"/>
      <c r="I43" s="1901"/>
      <c r="J43" s="1901"/>
      <c r="K43" s="1901"/>
      <c r="L43" s="1901"/>
      <c r="M43" s="1901"/>
      <c r="N43" s="1901"/>
      <c r="O43" s="1901"/>
      <c r="P43" s="1901"/>
      <c r="Q43" s="1901"/>
      <c r="R43" s="1902"/>
      <c r="S43" s="370"/>
    </row>
    <row r="44" spans="1:19" ht="11.25" customHeight="1" x14ac:dyDescent="0.25">
      <c r="A44" s="254" t="s">
        <v>518</v>
      </c>
      <c r="B44" s="646"/>
      <c r="C44" s="1637">
        <v>477111</v>
      </c>
      <c r="D44" s="1637"/>
      <c r="E44" s="1637"/>
      <c r="F44" s="1637"/>
      <c r="G44" s="1637"/>
      <c r="H44" s="1637"/>
      <c r="I44" s="1637"/>
      <c r="J44" s="1637"/>
      <c r="K44" s="1637"/>
      <c r="L44" s="1637"/>
      <c r="M44" s="1637"/>
      <c r="N44" s="1637"/>
      <c r="O44" s="1637"/>
      <c r="P44" s="1637"/>
      <c r="Q44" s="1637"/>
      <c r="R44" s="1646"/>
      <c r="S44" s="370"/>
    </row>
    <row r="45" spans="1:19" ht="11.25" customHeight="1" x14ac:dyDescent="0.25">
      <c r="A45" s="254" t="s">
        <v>519</v>
      </c>
      <c r="B45" s="646"/>
      <c r="C45" s="1637">
        <v>1795508</v>
      </c>
      <c r="D45" s="1637"/>
      <c r="E45" s="1637"/>
      <c r="F45" s="1637"/>
      <c r="G45" s="1637"/>
      <c r="H45" s="1637"/>
      <c r="I45" s="1637"/>
      <c r="J45" s="1637"/>
      <c r="K45" s="1637"/>
      <c r="L45" s="1637"/>
      <c r="M45" s="1637"/>
      <c r="N45" s="1637"/>
      <c r="O45" s="1637"/>
      <c r="P45" s="1637"/>
      <c r="Q45" s="1637"/>
      <c r="R45" s="1646"/>
      <c r="S45" s="370"/>
    </row>
    <row r="46" spans="1:19" ht="11.25" customHeight="1" x14ac:dyDescent="0.25">
      <c r="A46" s="254" t="s">
        <v>520</v>
      </c>
      <c r="B46" s="646"/>
      <c r="C46" s="1637"/>
      <c r="D46" s="1637"/>
      <c r="E46" s="1637"/>
      <c r="F46" s="1637"/>
      <c r="G46" s="1637"/>
      <c r="H46" s="1637"/>
      <c r="I46" s="1637"/>
      <c r="J46" s="1637"/>
      <c r="K46" s="1637"/>
      <c r="L46" s="1637"/>
      <c r="M46" s="1637"/>
      <c r="N46" s="1637"/>
      <c r="O46" s="1637"/>
      <c r="P46" s="1637"/>
      <c r="Q46" s="1637"/>
      <c r="R46" s="1646"/>
      <c r="S46" s="370"/>
    </row>
    <row r="47" spans="1:19" ht="11.25" customHeight="1" x14ac:dyDescent="0.25">
      <c r="A47" s="254" t="s">
        <v>1489</v>
      </c>
      <c r="B47" s="646"/>
      <c r="C47" s="1637">
        <v>3618428</v>
      </c>
      <c r="D47" s="1637"/>
      <c r="E47" s="1637"/>
      <c r="F47" s="1637"/>
      <c r="G47" s="1637"/>
      <c r="H47" s="1637"/>
      <c r="I47" s="1637"/>
      <c r="J47" s="1637"/>
      <c r="K47" s="1637"/>
      <c r="L47" s="1637"/>
      <c r="M47" s="1637"/>
      <c r="N47" s="1637"/>
      <c r="O47" s="1637"/>
      <c r="P47" s="1637"/>
      <c r="Q47" s="1637"/>
      <c r="R47" s="1646"/>
      <c r="S47" s="370"/>
    </row>
    <row r="48" spans="1:19" ht="11.25" customHeight="1" x14ac:dyDescent="0.25">
      <c r="A48" s="650" t="s">
        <v>661</v>
      </c>
      <c r="B48" s="639"/>
      <c r="C48" s="648"/>
      <c r="D48" s="648"/>
      <c r="E48" s="648"/>
      <c r="F48" s="648"/>
      <c r="G48" s="648"/>
      <c r="H48" s="648"/>
      <c r="I48" s="648"/>
      <c r="J48" s="648"/>
      <c r="K48" s="648"/>
      <c r="L48" s="648"/>
      <c r="M48" s="648"/>
      <c r="N48" s="648"/>
      <c r="O48" s="648"/>
      <c r="P48" s="648"/>
      <c r="Q48" s="648"/>
      <c r="R48" s="649"/>
      <c r="S48" s="370"/>
    </row>
    <row r="49" spans="1:19" ht="5.15" customHeight="1" x14ac:dyDescent="0.25">
      <c r="A49" s="651"/>
      <c r="B49" s="398"/>
      <c r="C49" s="629"/>
      <c r="D49" s="629"/>
      <c r="E49" s="629"/>
      <c r="F49" s="629"/>
      <c r="G49" s="629"/>
      <c r="H49" s="629"/>
      <c r="I49" s="629"/>
      <c r="J49" s="629"/>
      <c r="K49" s="629"/>
      <c r="L49" s="629"/>
      <c r="M49" s="629"/>
      <c r="N49" s="629"/>
      <c r="O49" s="629"/>
      <c r="P49" s="629"/>
      <c r="Q49" s="629"/>
      <c r="R49" s="630"/>
    </row>
    <row r="50" spans="1:19" s="709" customFormat="1" x14ac:dyDescent="0.25">
      <c r="A50" s="1261" t="str">
        <f>head27a</f>
        <v>References</v>
      </c>
      <c r="B50" s="1075"/>
      <c r="C50" s="1042"/>
      <c r="D50" s="1042"/>
      <c r="E50" s="1042"/>
      <c r="F50" s="1042"/>
      <c r="G50" s="1042"/>
      <c r="H50" s="1042"/>
      <c r="I50" s="1042"/>
      <c r="J50" s="1042"/>
      <c r="K50" s="1042"/>
      <c r="L50" s="1042"/>
      <c r="M50" s="1042"/>
      <c r="N50" s="1042"/>
      <c r="O50" s="1042"/>
      <c r="P50" s="1042"/>
      <c r="Q50" s="1042"/>
      <c r="R50" s="1042"/>
    </row>
    <row r="51" spans="1:19" s="709" customFormat="1" x14ac:dyDescent="0.25">
      <c r="A51" s="1416" t="s">
        <v>530</v>
      </c>
      <c r="B51" s="1075"/>
      <c r="C51" s="1042"/>
      <c r="D51" s="1042"/>
      <c r="E51" s="1042"/>
      <c r="F51" s="1042"/>
      <c r="G51" s="1042"/>
      <c r="H51" s="1042"/>
      <c r="I51" s="1042"/>
      <c r="J51" s="1042"/>
      <c r="K51" s="1042"/>
      <c r="L51" s="1042"/>
      <c r="M51" s="1042"/>
      <c r="N51" s="1042"/>
      <c r="O51" s="1042"/>
      <c r="P51" s="1042"/>
      <c r="Q51" s="1042"/>
      <c r="R51" s="1042"/>
    </row>
    <row r="52" spans="1:19" s="709" customFormat="1" x14ac:dyDescent="0.25">
      <c r="A52" s="1416" t="s">
        <v>531</v>
      </c>
      <c r="B52" s="1075"/>
      <c r="C52" s="1042"/>
      <c r="D52" s="1042"/>
      <c r="E52" s="1042"/>
      <c r="F52" s="1042"/>
      <c r="G52" s="1042"/>
      <c r="H52" s="1042"/>
      <c r="I52" s="1042"/>
      <c r="J52" s="1042"/>
      <c r="K52" s="1042"/>
      <c r="L52" s="1042"/>
      <c r="M52" s="1042"/>
      <c r="N52" s="1042"/>
      <c r="O52" s="1042"/>
      <c r="P52" s="1042"/>
      <c r="Q52" s="1042"/>
      <c r="R52" s="1042"/>
    </row>
    <row r="53" spans="1:19" s="709" customFormat="1" x14ac:dyDescent="0.25">
      <c r="A53" s="1262" t="s">
        <v>532</v>
      </c>
      <c r="B53" s="1075"/>
      <c r="C53" s="1042"/>
      <c r="D53" s="1042"/>
      <c r="E53" s="1042"/>
      <c r="F53" s="1042"/>
      <c r="G53" s="1042"/>
      <c r="H53" s="1042"/>
      <c r="I53" s="1042"/>
      <c r="J53" s="1042"/>
      <c r="K53" s="1042"/>
      <c r="L53" s="1042"/>
      <c r="M53" s="1042"/>
      <c r="N53" s="1042"/>
      <c r="O53" s="1042"/>
      <c r="P53" s="1042"/>
      <c r="Q53" s="1042"/>
      <c r="R53" s="1042"/>
    </row>
    <row r="54" spans="1:19" s="709" customFormat="1" x14ac:dyDescent="0.25">
      <c r="A54" s="1416" t="s">
        <v>533</v>
      </c>
      <c r="B54" s="1075"/>
      <c r="C54" s="1042"/>
      <c r="D54" s="1042"/>
      <c r="E54" s="1042"/>
      <c r="F54" s="1042"/>
      <c r="G54" s="1042"/>
      <c r="H54" s="1042"/>
      <c r="I54" s="1042"/>
      <c r="J54" s="1042"/>
      <c r="K54" s="1042"/>
      <c r="L54" s="1042"/>
      <c r="M54" s="1042"/>
      <c r="N54" s="1042"/>
      <c r="O54" s="1042"/>
      <c r="P54" s="1042"/>
      <c r="Q54" s="1042"/>
      <c r="R54" s="1042"/>
    </row>
    <row r="55" spans="1:19" s="709" customFormat="1" x14ac:dyDescent="0.25">
      <c r="A55" s="1194" t="s">
        <v>1596</v>
      </c>
      <c r="B55" s="1075"/>
      <c r="C55" s="1042"/>
      <c r="D55" s="1042"/>
      <c r="E55" s="1042"/>
      <c r="F55" s="1042"/>
      <c r="G55" s="1042"/>
      <c r="H55" s="1042"/>
      <c r="I55" s="1042"/>
      <c r="J55" s="1042"/>
      <c r="K55" s="1042"/>
      <c r="L55" s="1042"/>
      <c r="M55" s="1042"/>
      <c r="N55" s="1042"/>
      <c r="O55" s="1042"/>
      <c r="P55" s="1042"/>
      <c r="Q55" s="1042"/>
      <c r="R55" s="1042"/>
    </row>
    <row r="56" spans="1:19" s="709" customFormat="1" x14ac:dyDescent="0.25">
      <c r="A56" s="1194" t="s">
        <v>1598</v>
      </c>
      <c r="B56" s="1075"/>
      <c r="C56" s="1042"/>
      <c r="D56" s="1042"/>
      <c r="E56" s="1042"/>
      <c r="F56" s="1042"/>
      <c r="G56" s="1042"/>
      <c r="H56" s="1042"/>
      <c r="I56" s="1042"/>
      <c r="J56" s="1042"/>
      <c r="K56" s="1042"/>
      <c r="L56" s="1042"/>
      <c r="M56" s="1042"/>
      <c r="N56" s="1042"/>
      <c r="O56" s="1042"/>
      <c r="P56" s="1042"/>
      <c r="Q56" s="1042"/>
      <c r="R56" s="1042"/>
    </row>
    <row r="57" spans="1:19" ht="15.75" customHeight="1" x14ac:dyDescent="0.3">
      <c r="A57" s="2295"/>
      <c r="B57" s="2295"/>
      <c r="C57" s="935"/>
      <c r="D57" s="935"/>
      <c r="E57" s="935"/>
      <c r="F57" s="935"/>
      <c r="G57" s="935"/>
      <c r="H57" s="935"/>
      <c r="I57" s="935"/>
      <c r="J57" s="935"/>
      <c r="K57" s="935"/>
      <c r="L57" s="935"/>
      <c r="M57" s="935"/>
      <c r="N57" s="935"/>
      <c r="O57" s="935"/>
      <c r="P57" s="935"/>
      <c r="Q57" s="935"/>
      <c r="R57" s="935"/>
      <c r="S57" s="360"/>
    </row>
    <row r="58" spans="1:19" ht="38.25" customHeight="1" x14ac:dyDescent="0.25">
      <c r="A58" s="2296"/>
      <c r="B58" s="2297"/>
      <c r="C58" s="2298"/>
      <c r="D58" s="2298"/>
      <c r="E58" s="2298"/>
      <c r="F58" s="2298"/>
      <c r="G58" s="2298"/>
      <c r="H58" s="2298"/>
      <c r="I58" s="2298"/>
      <c r="J58" s="2298"/>
      <c r="K58" s="2298"/>
      <c r="L58" s="2298"/>
      <c r="M58" s="2298"/>
      <c r="N58" s="2298"/>
      <c r="O58" s="2298"/>
      <c r="P58" s="2298"/>
      <c r="Q58" s="2298"/>
      <c r="R58" s="2298"/>
      <c r="S58" s="360"/>
    </row>
    <row r="59" spans="1:19" ht="11.25" customHeight="1" x14ac:dyDescent="0.25">
      <c r="A59" s="2306"/>
      <c r="B59" s="2300"/>
      <c r="C59" s="238"/>
      <c r="D59" s="238"/>
      <c r="E59" s="238"/>
      <c r="F59" s="238"/>
      <c r="G59" s="238"/>
      <c r="H59" s="238"/>
      <c r="I59" s="238"/>
      <c r="J59" s="238"/>
      <c r="K59" s="238"/>
      <c r="L59" s="238"/>
      <c r="M59" s="238"/>
      <c r="N59" s="238"/>
      <c r="O59" s="238"/>
      <c r="P59" s="238"/>
      <c r="Q59" s="238"/>
      <c r="R59" s="238"/>
      <c r="S59" s="360"/>
    </row>
    <row r="60" spans="1:19" ht="11.25" customHeight="1" x14ac:dyDescent="0.25">
      <c r="A60" s="2306"/>
      <c r="B60" s="2300"/>
      <c r="C60" s="238"/>
      <c r="D60" s="238"/>
      <c r="E60" s="238"/>
      <c r="F60" s="238"/>
      <c r="G60" s="238"/>
      <c r="H60" s="238"/>
      <c r="I60" s="238"/>
      <c r="J60" s="238"/>
      <c r="K60" s="238"/>
      <c r="L60" s="238"/>
      <c r="M60" s="238"/>
      <c r="N60" s="238"/>
      <c r="O60" s="238"/>
      <c r="P60" s="238"/>
      <c r="Q60" s="238"/>
      <c r="R60" s="238"/>
      <c r="S60" s="360"/>
    </row>
    <row r="61" spans="1:19" ht="11.25" customHeight="1" x14ac:dyDescent="0.25">
      <c r="A61" s="2299"/>
      <c r="B61" s="2300"/>
      <c r="C61" s="2090"/>
      <c r="D61" s="2090"/>
      <c r="E61" s="2090"/>
      <c r="F61" s="2090"/>
      <c r="G61" s="2090"/>
      <c r="H61" s="2090"/>
      <c r="I61" s="2090"/>
      <c r="J61" s="2090"/>
      <c r="K61" s="2090"/>
      <c r="L61" s="2090"/>
      <c r="M61" s="2090"/>
      <c r="N61" s="2090"/>
      <c r="O61" s="2090"/>
      <c r="P61" s="2090"/>
      <c r="Q61" s="2090"/>
      <c r="R61" s="2090"/>
      <c r="S61" s="360"/>
    </row>
    <row r="62" spans="1:19" ht="11.25" customHeight="1" x14ac:dyDescent="0.25">
      <c r="A62" s="2299"/>
      <c r="B62" s="2300"/>
      <c r="C62" s="2090"/>
      <c r="D62" s="2090"/>
      <c r="E62" s="2090"/>
      <c r="F62" s="2090"/>
      <c r="G62" s="2090"/>
      <c r="H62" s="2090"/>
      <c r="I62" s="2090"/>
      <c r="J62" s="2090"/>
      <c r="K62" s="2090"/>
      <c r="L62" s="2090"/>
      <c r="M62" s="2090"/>
      <c r="N62" s="2090"/>
      <c r="O62" s="2090"/>
      <c r="P62" s="2090"/>
      <c r="Q62" s="2090"/>
      <c r="R62" s="2090"/>
      <c r="S62" s="360"/>
    </row>
    <row r="63" spans="1:19" ht="11.25" customHeight="1" x14ac:dyDescent="0.25">
      <c r="A63" s="2299"/>
      <c r="B63" s="2300"/>
      <c r="C63" s="2090"/>
      <c r="D63" s="2090"/>
      <c r="E63" s="2090"/>
      <c r="F63" s="2090"/>
      <c r="G63" s="2090"/>
      <c r="H63" s="2090"/>
      <c r="I63" s="2090"/>
      <c r="J63" s="2090"/>
      <c r="K63" s="2090"/>
      <c r="L63" s="2090"/>
      <c r="M63" s="2090"/>
      <c r="N63" s="2090"/>
      <c r="O63" s="2090"/>
      <c r="P63" s="2090"/>
      <c r="Q63" s="2090"/>
      <c r="R63" s="2090"/>
      <c r="S63" s="360"/>
    </row>
    <row r="64" spans="1:19" ht="11.25" customHeight="1" x14ac:dyDescent="0.25">
      <c r="A64" s="2299"/>
      <c r="B64" s="2300"/>
      <c r="C64" s="2090"/>
      <c r="D64" s="2090"/>
      <c r="E64" s="2090"/>
      <c r="F64" s="2090"/>
      <c r="G64" s="2090"/>
      <c r="H64" s="2090"/>
      <c r="I64" s="2090"/>
      <c r="J64" s="2090"/>
      <c r="K64" s="2090"/>
      <c r="L64" s="2090"/>
      <c r="M64" s="2090"/>
      <c r="N64" s="2090"/>
      <c r="O64" s="2090"/>
      <c r="P64" s="2090"/>
      <c r="Q64" s="2090"/>
      <c r="R64" s="2090"/>
      <c r="S64" s="360"/>
    </row>
    <row r="65" spans="1:19" ht="11.25" customHeight="1" x14ac:dyDescent="0.25">
      <c r="A65" s="2299"/>
      <c r="B65" s="2300"/>
      <c r="C65" s="2090"/>
      <c r="D65" s="2090"/>
      <c r="E65" s="2090"/>
      <c r="F65" s="2090"/>
      <c r="G65" s="2090"/>
      <c r="H65" s="2090"/>
      <c r="I65" s="2090"/>
      <c r="J65" s="2090"/>
      <c r="K65" s="2090"/>
      <c r="L65" s="2090"/>
      <c r="M65" s="2090"/>
      <c r="N65" s="2090"/>
      <c r="O65" s="2090"/>
      <c r="P65" s="2090"/>
      <c r="Q65" s="2090"/>
      <c r="R65" s="2090"/>
      <c r="S65" s="360"/>
    </row>
    <row r="66" spans="1:19" ht="11.25" customHeight="1" x14ac:dyDescent="0.25">
      <c r="A66" s="2299"/>
      <c r="B66" s="2300"/>
      <c r="C66" s="2090"/>
      <c r="D66" s="2090"/>
      <c r="E66" s="2090"/>
      <c r="F66" s="2090"/>
      <c r="G66" s="2090"/>
      <c r="H66" s="2090"/>
      <c r="I66" s="2090"/>
      <c r="J66" s="2090"/>
      <c r="K66" s="2090"/>
      <c r="L66" s="2090"/>
      <c r="M66" s="2090"/>
      <c r="N66" s="2090"/>
      <c r="O66" s="2090"/>
      <c r="P66" s="2090"/>
      <c r="Q66" s="2090"/>
      <c r="R66" s="2090"/>
      <c r="S66" s="360"/>
    </row>
    <row r="67" spans="1:19" ht="11.25" customHeight="1" x14ac:dyDescent="0.25">
      <c r="A67" s="2299"/>
      <c r="B67" s="2300"/>
      <c r="C67" s="2090"/>
      <c r="D67" s="2090"/>
      <c r="E67" s="2090"/>
      <c r="F67" s="2090"/>
      <c r="G67" s="2090"/>
      <c r="H67" s="2090"/>
      <c r="I67" s="2090"/>
      <c r="J67" s="2090"/>
      <c r="K67" s="2090"/>
      <c r="L67" s="2090"/>
      <c r="M67" s="2090"/>
      <c r="N67" s="2090"/>
      <c r="O67" s="2090"/>
      <c r="P67" s="2090"/>
      <c r="Q67" s="2090"/>
      <c r="R67" s="2090"/>
      <c r="S67" s="360"/>
    </row>
    <row r="68" spans="1:19" ht="11.25" customHeight="1" x14ac:dyDescent="0.25">
      <c r="A68" s="2299"/>
      <c r="B68" s="2300"/>
      <c r="C68" s="2090"/>
      <c r="D68" s="2090"/>
      <c r="E68" s="2090"/>
      <c r="F68" s="2090"/>
      <c r="G68" s="2090"/>
      <c r="H68" s="2090"/>
      <c r="I68" s="2090"/>
      <c r="J68" s="2090"/>
      <c r="K68" s="2090"/>
      <c r="L68" s="2090"/>
      <c r="M68" s="2090"/>
      <c r="N68" s="2090"/>
      <c r="O68" s="2090"/>
      <c r="P68" s="2090"/>
      <c r="Q68" s="2090"/>
      <c r="R68" s="2090"/>
      <c r="S68" s="360"/>
    </row>
    <row r="69" spans="1:19" ht="11.25" customHeight="1" x14ac:dyDescent="0.25">
      <c r="A69" s="2299"/>
      <c r="B69" s="2300"/>
      <c r="C69" s="2090"/>
      <c r="D69" s="2090"/>
      <c r="E69" s="2090"/>
      <c r="F69" s="2090"/>
      <c r="G69" s="2090"/>
      <c r="H69" s="2090"/>
      <c r="I69" s="2090"/>
      <c r="J69" s="2090"/>
      <c r="K69" s="2090"/>
      <c r="L69" s="2090"/>
      <c r="M69" s="2090"/>
      <c r="N69" s="2090"/>
      <c r="O69" s="2090"/>
      <c r="P69" s="2090"/>
      <c r="Q69" s="2090"/>
      <c r="R69" s="2090"/>
      <c r="S69" s="360"/>
    </row>
    <row r="70" spans="1:19" ht="11.25" customHeight="1" x14ac:dyDescent="0.25">
      <c r="A70" s="2299"/>
      <c r="B70" s="2300"/>
      <c r="C70" s="2090"/>
      <c r="D70" s="2090"/>
      <c r="E70" s="2090"/>
      <c r="F70" s="2090"/>
      <c r="G70" s="2090"/>
      <c r="H70" s="2090"/>
      <c r="I70" s="2090"/>
      <c r="J70" s="2090"/>
      <c r="K70" s="2090"/>
      <c r="L70" s="2090"/>
      <c r="M70" s="2090"/>
      <c r="N70" s="2090"/>
      <c r="O70" s="2090"/>
      <c r="P70" s="2090"/>
      <c r="Q70" s="2090"/>
      <c r="R70" s="2090"/>
      <c r="S70" s="360"/>
    </row>
    <row r="71" spans="1:19" ht="11.25" customHeight="1" x14ac:dyDescent="0.25">
      <c r="A71" s="2299"/>
      <c r="B71" s="2300"/>
      <c r="C71" s="2090"/>
      <c r="D71" s="2090"/>
      <c r="E71" s="2090"/>
      <c r="F71" s="2090"/>
      <c r="G71" s="2090"/>
      <c r="H71" s="2090"/>
      <c r="I71" s="2090"/>
      <c r="J71" s="2090"/>
      <c r="K71" s="2090"/>
      <c r="L71" s="2090"/>
      <c r="M71" s="2090"/>
      <c r="N71" s="2090"/>
      <c r="O71" s="2090"/>
      <c r="P71" s="2090"/>
      <c r="Q71" s="2090"/>
      <c r="R71" s="2090"/>
      <c r="S71" s="360"/>
    </row>
    <row r="72" spans="1:19" ht="11.25" customHeight="1" x14ac:dyDescent="0.25">
      <c r="A72" s="2299"/>
      <c r="B72" s="2300"/>
      <c r="C72" s="2307"/>
      <c r="D72" s="2307"/>
      <c r="E72" s="2307"/>
      <c r="F72" s="2307"/>
      <c r="G72" s="2307"/>
      <c r="H72" s="2307"/>
      <c r="I72" s="2308"/>
      <c r="J72" s="2307"/>
      <c r="K72" s="2307"/>
      <c r="L72" s="2307"/>
      <c r="M72" s="2307"/>
      <c r="N72" s="2307"/>
      <c r="O72" s="2307"/>
      <c r="P72" s="2307"/>
      <c r="Q72" s="2307"/>
      <c r="R72" s="2307"/>
      <c r="S72" s="360"/>
    </row>
    <row r="73" spans="1:19" ht="11.25" customHeight="1" x14ac:dyDescent="0.25">
      <c r="A73" s="2299"/>
      <c r="B73" s="2300"/>
      <c r="C73" s="2309"/>
      <c r="D73" s="2309"/>
      <c r="E73" s="2309"/>
      <c r="F73" s="2309"/>
      <c r="G73" s="2309"/>
      <c r="H73" s="2309"/>
      <c r="I73" s="2309"/>
      <c r="J73" s="2309"/>
      <c r="K73" s="2309"/>
      <c r="L73" s="2309"/>
      <c r="M73" s="2309"/>
      <c r="N73" s="2309"/>
      <c r="O73" s="2309"/>
      <c r="P73" s="2309"/>
      <c r="Q73" s="2309"/>
      <c r="R73" s="2309"/>
      <c r="S73" s="360"/>
    </row>
    <row r="74" spans="1:19" ht="11.25" customHeight="1" x14ac:dyDescent="0.25">
      <c r="A74" s="2299"/>
      <c r="B74" s="2300"/>
      <c r="C74" s="2310"/>
      <c r="D74" s="2310"/>
      <c r="E74" s="2310"/>
      <c r="F74" s="2310"/>
      <c r="G74" s="2310"/>
      <c r="H74" s="2310"/>
      <c r="I74" s="2310"/>
      <c r="J74" s="2310"/>
      <c r="K74" s="2310"/>
      <c r="L74" s="2310"/>
      <c r="M74" s="2310"/>
      <c r="N74" s="2310"/>
      <c r="O74" s="2310"/>
      <c r="P74" s="2310"/>
      <c r="Q74" s="2310"/>
      <c r="R74" s="2310"/>
      <c r="S74" s="360"/>
    </row>
    <row r="75" spans="1:19" ht="11.25" customHeight="1" x14ac:dyDescent="0.25">
      <c r="A75" s="2299"/>
      <c r="B75" s="2300"/>
      <c r="C75" s="2309"/>
      <c r="D75" s="2309"/>
      <c r="E75" s="2309"/>
      <c r="F75" s="2309"/>
      <c r="G75" s="2309"/>
      <c r="H75" s="2309"/>
      <c r="I75" s="2309"/>
      <c r="J75" s="2309"/>
      <c r="K75" s="2309"/>
      <c r="L75" s="2309"/>
      <c r="M75" s="2309"/>
      <c r="N75" s="2309"/>
      <c r="O75" s="2309"/>
      <c r="P75" s="2309"/>
      <c r="Q75" s="2309"/>
      <c r="R75" s="2309"/>
      <c r="S75" s="360"/>
    </row>
    <row r="76" spans="1:19" ht="11.25" customHeight="1" x14ac:dyDescent="0.25">
      <c r="A76" s="2299"/>
      <c r="B76" s="2300"/>
      <c r="C76" s="2309"/>
      <c r="D76" s="2309"/>
      <c r="E76" s="2309"/>
      <c r="F76" s="2309"/>
      <c r="G76" s="2309"/>
      <c r="H76" s="2309"/>
      <c r="I76" s="2309"/>
      <c r="J76" s="2309"/>
      <c r="K76" s="2309"/>
      <c r="L76" s="2309"/>
      <c r="M76" s="2309"/>
      <c r="N76" s="2309"/>
      <c r="O76" s="2309"/>
      <c r="P76" s="2309"/>
      <c r="Q76" s="2309"/>
      <c r="R76" s="2309"/>
      <c r="S76" s="360"/>
    </row>
    <row r="77" spans="1:19" ht="11.25" customHeight="1" x14ac:dyDescent="0.25">
      <c r="A77" s="2299"/>
      <c r="B77" s="2300"/>
      <c r="C77" s="2309"/>
      <c r="D77" s="2309"/>
      <c r="E77" s="2309"/>
      <c r="F77" s="2309"/>
      <c r="G77" s="2309"/>
      <c r="H77" s="2309"/>
      <c r="I77" s="2309"/>
      <c r="J77" s="2309"/>
      <c r="K77" s="2309"/>
      <c r="L77" s="2309"/>
      <c r="M77" s="2309"/>
      <c r="N77" s="2309"/>
      <c r="O77" s="2309"/>
      <c r="P77" s="2309"/>
      <c r="Q77" s="2309"/>
      <c r="R77" s="2309"/>
      <c r="S77" s="360"/>
    </row>
    <row r="78" spans="1:19" ht="11.25" customHeight="1" x14ac:dyDescent="0.25">
      <c r="A78" s="2299"/>
      <c r="B78" s="2303"/>
      <c r="C78" s="2309"/>
      <c r="D78" s="2309"/>
      <c r="E78" s="2309"/>
      <c r="F78" s="2309"/>
      <c r="G78" s="2309"/>
      <c r="H78" s="2309"/>
      <c r="I78" s="2309"/>
      <c r="J78" s="2309"/>
      <c r="K78" s="2309"/>
      <c r="L78" s="2309"/>
      <c r="M78" s="2309"/>
      <c r="N78" s="2309"/>
      <c r="O78" s="2309"/>
      <c r="P78" s="2309"/>
      <c r="Q78" s="2309"/>
      <c r="R78" s="2309"/>
      <c r="S78" s="360"/>
    </row>
    <row r="79" spans="1:19" ht="11.25" customHeight="1" x14ac:dyDescent="0.25">
      <c r="A79" s="2299"/>
      <c r="B79" s="2303"/>
      <c r="C79" s="2309"/>
      <c r="D79" s="2309"/>
      <c r="E79" s="2309"/>
      <c r="F79" s="2309"/>
      <c r="G79" s="2309"/>
      <c r="H79" s="2309"/>
      <c r="I79" s="2309"/>
      <c r="J79" s="2309"/>
      <c r="K79" s="2309"/>
      <c r="L79" s="2309"/>
      <c r="M79" s="2309"/>
      <c r="N79" s="2309"/>
      <c r="O79" s="2309"/>
      <c r="P79" s="2309"/>
      <c r="Q79" s="2309"/>
      <c r="R79" s="2309"/>
      <c r="S79" s="360"/>
    </row>
    <row r="80" spans="1:19" ht="11.25" customHeight="1" x14ac:dyDescent="0.25">
      <c r="A80" s="2299"/>
      <c r="B80" s="2303"/>
      <c r="C80" s="2309"/>
      <c r="D80" s="2309"/>
      <c r="E80" s="2309"/>
      <c r="F80" s="2309"/>
      <c r="G80" s="2309"/>
      <c r="H80" s="2309"/>
      <c r="I80" s="2309"/>
      <c r="J80" s="2309"/>
      <c r="K80" s="2309"/>
      <c r="L80" s="2309"/>
      <c r="M80" s="2309"/>
      <c r="N80" s="2309"/>
      <c r="O80" s="2309"/>
      <c r="P80" s="2309"/>
      <c r="Q80" s="2309"/>
      <c r="R80" s="2309"/>
      <c r="S80" s="360"/>
    </row>
    <row r="81" spans="1:19" ht="11.25" customHeight="1" x14ac:dyDescent="0.25">
      <c r="A81" s="2306"/>
      <c r="B81" s="2300"/>
      <c r="C81" s="603"/>
      <c r="D81" s="603"/>
      <c r="E81" s="603"/>
      <c r="F81" s="603"/>
      <c r="G81" s="603"/>
      <c r="H81" s="603"/>
      <c r="I81" s="603"/>
      <c r="J81" s="603"/>
      <c r="K81" s="603"/>
      <c r="L81" s="603"/>
      <c r="M81" s="603"/>
      <c r="N81" s="603"/>
      <c r="O81" s="603"/>
      <c r="P81" s="603"/>
      <c r="Q81" s="603"/>
      <c r="R81" s="603"/>
      <c r="S81" s="360"/>
    </row>
    <row r="82" spans="1:19" ht="11.25" customHeight="1" x14ac:dyDescent="0.25">
      <c r="A82" s="2299"/>
      <c r="B82" s="2300"/>
      <c r="C82" s="2311"/>
      <c r="D82" s="2311"/>
      <c r="E82" s="2311"/>
      <c r="F82" s="2311"/>
      <c r="G82" s="2311"/>
      <c r="H82" s="2311"/>
      <c r="I82" s="2311"/>
      <c r="J82" s="2311"/>
      <c r="K82" s="2311"/>
      <c r="L82" s="2311"/>
      <c r="M82" s="2311"/>
      <c r="N82" s="2311"/>
      <c r="O82" s="2311"/>
      <c r="P82" s="2311"/>
      <c r="Q82" s="2311"/>
      <c r="R82" s="2311"/>
      <c r="S82" s="360"/>
    </row>
    <row r="83" spans="1:19" ht="11.25" customHeight="1" x14ac:dyDescent="0.25">
      <c r="A83" s="2299"/>
      <c r="B83" s="2300"/>
      <c r="C83" s="2311"/>
      <c r="D83" s="2311"/>
      <c r="E83" s="2311"/>
      <c r="F83" s="2311"/>
      <c r="G83" s="2311"/>
      <c r="H83" s="2311"/>
      <c r="I83" s="2311"/>
      <c r="J83" s="2311"/>
      <c r="K83" s="2311"/>
      <c r="L83" s="2311"/>
      <c r="M83" s="2311"/>
      <c r="N83" s="2311"/>
      <c r="O83" s="2311"/>
      <c r="P83" s="2311"/>
      <c r="Q83" s="2311"/>
      <c r="R83" s="2311"/>
      <c r="S83" s="360"/>
    </row>
    <row r="84" spans="1:19" ht="11.25" customHeight="1" x14ac:dyDescent="0.25">
      <c r="A84" s="2299"/>
      <c r="B84" s="2300"/>
      <c r="C84" s="2311"/>
      <c r="D84" s="2311"/>
      <c r="E84" s="2311"/>
      <c r="F84" s="2311"/>
      <c r="G84" s="2311"/>
      <c r="H84" s="2311"/>
      <c r="I84" s="2311"/>
      <c r="J84" s="2311"/>
      <c r="K84" s="2311"/>
      <c r="L84" s="2311"/>
      <c r="M84" s="2311"/>
      <c r="N84" s="2311"/>
      <c r="O84" s="2311"/>
      <c r="P84" s="2311"/>
      <c r="Q84" s="2311"/>
      <c r="R84" s="2311"/>
      <c r="S84" s="360"/>
    </row>
    <row r="85" spans="1:19" ht="11.25" customHeight="1" x14ac:dyDescent="0.25">
      <c r="A85" s="2299"/>
      <c r="B85" s="2300"/>
      <c r="C85" s="2311"/>
      <c r="D85" s="2311"/>
      <c r="E85" s="2311"/>
      <c r="F85" s="2311"/>
      <c r="G85" s="2311"/>
      <c r="H85" s="2311"/>
      <c r="I85" s="2311"/>
      <c r="J85" s="2311"/>
      <c r="K85" s="2311"/>
      <c r="L85" s="2311"/>
      <c r="M85" s="2311"/>
      <c r="N85" s="2311"/>
      <c r="O85" s="2311"/>
      <c r="P85" s="2311"/>
      <c r="Q85" s="2311"/>
      <c r="R85" s="2311"/>
      <c r="S85" s="360"/>
    </row>
    <row r="86" spans="1:19" ht="11.25" customHeight="1" x14ac:dyDescent="0.25">
      <c r="A86" s="2299"/>
      <c r="B86" s="2300"/>
      <c r="C86" s="2311"/>
      <c r="D86" s="2311"/>
      <c r="E86" s="2311"/>
      <c r="F86" s="2311"/>
      <c r="G86" s="2311"/>
      <c r="H86" s="2311"/>
      <c r="I86" s="2311"/>
      <c r="J86" s="2311"/>
      <c r="K86" s="2311"/>
      <c r="L86" s="2311"/>
      <c r="M86" s="2311"/>
      <c r="N86" s="2311"/>
      <c r="O86" s="2311"/>
      <c r="P86" s="2311"/>
      <c r="Q86" s="2311"/>
      <c r="R86" s="2311"/>
      <c r="S86" s="360"/>
    </row>
    <row r="87" spans="1:19" ht="11.25" customHeight="1" x14ac:dyDescent="0.25">
      <c r="A87" s="2299"/>
      <c r="B87" s="2303"/>
      <c r="C87" s="2311"/>
      <c r="D87" s="2311"/>
      <c r="E87" s="2311"/>
      <c r="F87" s="2311"/>
      <c r="G87" s="2311"/>
      <c r="H87" s="2311"/>
      <c r="I87" s="2311"/>
      <c r="J87" s="2311"/>
      <c r="K87" s="2311"/>
      <c r="L87" s="2311"/>
      <c r="M87" s="2311"/>
      <c r="N87" s="2311"/>
      <c r="O87" s="2311"/>
      <c r="P87" s="2311"/>
      <c r="Q87" s="2311"/>
      <c r="R87" s="2311"/>
      <c r="S87" s="360"/>
    </row>
    <row r="88" spans="1:19" ht="11.25" customHeight="1" x14ac:dyDescent="0.25">
      <c r="A88" s="2304"/>
      <c r="B88" s="2300"/>
      <c r="C88" s="2301"/>
      <c r="D88" s="2301"/>
      <c r="E88" s="2301"/>
      <c r="F88" s="2301"/>
      <c r="G88" s="2301"/>
      <c r="H88" s="2301"/>
      <c r="I88" s="2301"/>
      <c r="J88" s="2301"/>
      <c r="K88" s="2301"/>
      <c r="L88" s="2301"/>
      <c r="M88" s="2301"/>
      <c r="N88" s="2301"/>
      <c r="O88" s="2301"/>
      <c r="P88" s="2301"/>
      <c r="Q88" s="2301"/>
      <c r="R88" s="2301"/>
      <c r="S88" s="360"/>
    </row>
    <row r="89" spans="1:19" ht="11.25" customHeight="1" x14ac:dyDescent="0.25">
      <c r="A89" s="2299"/>
      <c r="B89" s="2300"/>
      <c r="C89" s="2312"/>
      <c r="D89" s="2312"/>
      <c r="E89" s="2312"/>
      <c r="F89" s="2312"/>
      <c r="G89" s="2312"/>
      <c r="H89" s="2312"/>
      <c r="I89" s="2312"/>
      <c r="J89" s="2312"/>
      <c r="K89" s="2312"/>
      <c r="L89" s="2312"/>
      <c r="M89" s="2312"/>
      <c r="N89" s="2312"/>
      <c r="O89" s="2312"/>
      <c r="P89" s="2312"/>
      <c r="Q89" s="2312"/>
      <c r="R89" s="2312"/>
      <c r="S89" s="360"/>
    </row>
    <row r="90" spans="1:19" ht="11.25" customHeight="1" x14ac:dyDescent="0.25">
      <c r="A90" s="2299"/>
      <c r="B90" s="2300"/>
      <c r="C90" s="2312"/>
      <c r="D90" s="2312"/>
      <c r="E90" s="2312"/>
      <c r="F90" s="2312"/>
      <c r="G90" s="2312"/>
      <c r="H90" s="2312"/>
      <c r="I90" s="2312"/>
      <c r="J90" s="2312"/>
      <c r="K90" s="2312"/>
      <c r="L90" s="2312"/>
      <c r="M90" s="2312"/>
      <c r="N90" s="2312"/>
      <c r="O90" s="2312"/>
      <c r="P90" s="2312"/>
      <c r="Q90" s="2312"/>
      <c r="R90" s="2312"/>
      <c r="S90" s="360"/>
    </row>
    <row r="91" spans="1:19" ht="11.25" customHeight="1" x14ac:dyDescent="0.25">
      <c r="A91" s="2299"/>
      <c r="B91" s="2300"/>
      <c r="C91" s="2312"/>
      <c r="D91" s="2312"/>
      <c r="E91" s="2312"/>
      <c r="F91" s="2312"/>
      <c r="G91" s="2312"/>
      <c r="H91" s="2312"/>
      <c r="I91" s="2312"/>
      <c r="J91" s="2312"/>
      <c r="K91" s="2312"/>
      <c r="L91" s="2312"/>
      <c r="M91" s="2312"/>
      <c r="N91" s="2312"/>
      <c r="O91" s="2312"/>
      <c r="P91" s="2312"/>
      <c r="Q91" s="2312"/>
      <c r="R91" s="2312"/>
      <c r="S91" s="360"/>
    </row>
    <row r="92" spans="1:19" ht="11.25" customHeight="1" x14ac:dyDescent="0.25">
      <c r="A92" s="2299"/>
      <c r="B92" s="2313"/>
      <c r="C92" s="2314"/>
      <c r="D92" s="2314"/>
      <c r="E92" s="2314"/>
      <c r="F92" s="2314"/>
      <c r="G92" s="2314"/>
      <c r="H92" s="2314"/>
      <c r="I92" s="2314"/>
      <c r="J92" s="2314"/>
      <c r="K92" s="2314"/>
      <c r="L92" s="2314"/>
      <c r="M92" s="2314"/>
      <c r="N92" s="2314"/>
      <c r="O92" s="2314"/>
      <c r="P92" s="2314"/>
      <c r="Q92" s="2314"/>
      <c r="R92" s="2314"/>
      <c r="S92" s="360"/>
    </row>
    <row r="93" spans="1:19" ht="11.25" customHeight="1" x14ac:dyDescent="0.25">
      <c r="A93" s="2306"/>
      <c r="B93" s="2313"/>
      <c r="C93" s="2302"/>
      <c r="D93" s="2302"/>
      <c r="E93" s="2302"/>
      <c r="F93" s="2302"/>
      <c r="G93" s="2302"/>
      <c r="H93" s="2302"/>
      <c r="I93" s="2302"/>
      <c r="J93" s="2302"/>
      <c r="K93" s="2302"/>
      <c r="L93" s="2302"/>
      <c r="M93" s="2302"/>
      <c r="N93" s="2302"/>
      <c r="O93" s="2302"/>
      <c r="P93" s="2302"/>
      <c r="Q93" s="2302"/>
      <c r="R93" s="2302"/>
      <c r="S93" s="360"/>
    </row>
    <row r="94" spans="1:19" ht="11.25" customHeight="1" x14ac:dyDescent="0.25">
      <c r="A94" s="2299"/>
      <c r="B94" s="2303"/>
      <c r="C94" s="2315"/>
      <c r="D94" s="2315"/>
      <c r="E94" s="2315"/>
      <c r="F94" s="2315"/>
      <c r="G94" s="2315"/>
      <c r="H94" s="2315"/>
      <c r="I94" s="2315"/>
      <c r="J94" s="2315"/>
      <c r="K94" s="2315"/>
      <c r="L94" s="2315"/>
      <c r="M94" s="2315"/>
      <c r="N94" s="2315"/>
      <c r="O94" s="2315"/>
      <c r="P94" s="2315"/>
      <c r="Q94" s="2315"/>
      <c r="R94" s="2315"/>
      <c r="S94" s="360"/>
    </row>
    <row r="95" spans="1:19" ht="11.25" customHeight="1" x14ac:dyDescent="0.25">
      <c r="A95" s="2299"/>
      <c r="B95" s="2303"/>
      <c r="C95" s="1332"/>
      <c r="D95" s="1332"/>
      <c r="E95" s="1332"/>
      <c r="F95" s="1332"/>
      <c r="G95" s="1332"/>
      <c r="H95" s="1332"/>
      <c r="I95" s="1332"/>
      <c r="J95" s="1332"/>
      <c r="K95" s="1332"/>
      <c r="L95" s="1332"/>
      <c r="M95" s="1332"/>
      <c r="N95" s="1332"/>
      <c r="O95" s="1332"/>
      <c r="P95" s="1332"/>
      <c r="Q95" s="1332"/>
      <c r="R95" s="1332"/>
      <c r="S95" s="360"/>
    </row>
    <row r="96" spans="1:19" ht="11.25" customHeight="1" x14ac:dyDescent="0.25">
      <c r="A96" s="2299"/>
      <c r="B96" s="2303"/>
      <c r="C96" s="1332"/>
      <c r="D96" s="1332"/>
      <c r="E96" s="1332"/>
      <c r="F96" s="1332"/>
      <c r="G96" s="1332"/>
      <c r="H96" s="1332"/>
      <c r="I96" s="1332"/>
      <c r="J96" s="1332"/>
      <c r="K96" s="1332"/>
      <c r="L96" s="1332"/>
      <c r="M96" s="1332"/>
      <c r="N96" s="1332"/>
      <c r="O96" s="1332"/>
      <c r="P96" s="1332"/>
      <c r="Q96" s="1332"/>
      <c r="R96" s="1332"/>
      <c r="S96" s="360"/>
    </row>
    <row r="97" spans="1:19" ht="11.25" customHeight="1" x14ac:dyDescent="0.25">
      <c r="A97" s="2299"/>
      <c r="B97" s="2303"/>
      <c r="C97" s="2316"/>
      <c r="D97" s="2316"/>
      <c r="E97" s="2316"/>
      <c r="F97" s="2316"/>
      <c r="G97" s="2316"/>
      <c r="H97" s="2316"/>
      <c r="I97" s="2316"/>
      <c r="J97" s="2316"/>
      <c r="K97" s="2316"/>
      <c r="L97" s="2316"/>
      <c r="M97" s="2316"/>
      <c r="N97" s="2316"/>
      <c r="O97" s="2316"/>
      <c r="P97" s="2316"/>
      <c r="Q97" s="2316"/>
      <c r="R97" s="2316"/>
      <c r="S97" s="360"/>
    </row>
    <row r="98" spans="1:19" ht="11.25" customHeight="1" x14ac:dyDescent="0.25">
      <c r="A98" s="2299"/>
      <c r="B98" s="2303"/>
      <c r="C98" s="2317"/>
      <c r="D98" s="2317"/>
      <c r="E98" s="2317"/>
      <c r="F98" s="2317"/>
      <c r="G98" s="2317"/>
      <c r="H98" s="2317"/>
      <c r="I98" s="2317"/>
      <c r="J98" s="2317"/>
      <c r="K98" s="2317"/>
      <c r="L98" s="2317"/>
      <c r="M98" s="2317"/>
      <c r="N98" s="2317"/>
      <c r="O98" s="2317"/>
      <c r="P98" s="2317"/>
      <c r="Q98" s="2317"/>
      <c r="R98" s="2317"/>
      <c r="S98" s="360"/>
    </row>
    <row r="99" spans="1:19" ht="11.25" customHeight="1" x14ac:dyDescent="0.25">
      <c r="A99" s="2299"/>
      <c r="B99" s="2303"/>
      <c r="C99" s="2317"/>
      <c r="D99" s="2317"/>
      <c r="E99" s="2317"/>
      <c r="F99" s="2317"/>
      <c r="G99" s="2317"/>
      <c r="H99" s="2317"/>
      <c r="I99" s="2317"/>
      <c r="J99" s="2317"/>
      <c r="K99" s="2317"/>
      <c r="L99" s="2317"/>
      <c r="M99" s="2317"/>
      <c r="N99" s="2317"/>
      <c r="O99" s="2317"/>
      <c r="P99" s="2317"/>
      <c r="Q99" s="2317"/>
      <c r="R99" s="2317"/>
      <c r="S99" s="360"/>
    </row>
    <row r="100" spans="1:19" ht="11.25" customHeight="1" x14ac:dyDescent="0.25">
      <c r="A100" s="2299"/>
      <c r="B100" s="2303"/>
      <c r="C100" s="2317"/>
      <c r="D100" s="2317"/>
      <c r="E100" s="2317"/>
      <c r="F100" s="2317"/>
      <c r="G100" s="2317"/>
      <c r="H100" s="2317"/>
      <c r="I100" s="2317"/>
      <c r="J100" s="2317"/>
      <c r="K100" s="2317"/>
      <c r="L100" s="2317"/>
      <c r="M100" s="2317"/>
      <c r="N100" s="2317"/>
      <c r="O100" s="2317"/>
      <c r="P100" s="2317"/>
      <c r="Q100" s="2317"/>
      <c r="R100" s="2317"/>
      <c r="S100" s="360"/>
    </row>
    <row r="101" spans="1:19" ht="11.25" customHeight="1" x14ac:dyDescent="0.25">
      <c r="A101" s="2299"/>
      <c r="B101" s="2303"/>
      <c r="C101" s="2317"/>
      <c r="D101" s="2317"/>
      <c r="E101" s="2317"/>
      <c r="F101" s="2317"/>
      <c r="G101" s="2317"/>
      <c r="H101" s="2317"/>
      <c r="I101" s="2317"/>
      <c r="J101" s="2317"/>
      <c r="K101" s="2317"/>
      <c r="L101" s="2317"/>
      <c r="M101" s="2317"/>
      <c r="N101" s="2317"/>
      <c r="O101" s="2317"/>
      <c r="P101" s="2317"/>
      <c r="Q101" s="2317"/>
      <c r="R101" s="2317"/>
      <c r="S101" s="360"/>
    </row>
    <row r="102" spans="1:19" ht="11.25" customHeight="1" x14ac:dyDescent="0.25">
      <c r="A102" s="2299"/>
      <c r="B102" s="2303"/>
      <c r="C102" s="2317"/>
      <c r="D102" s="2317"/>
      <c r="E102" s="2317"/>
      <c r="F102" s="2317"/>
      <c r="G102" s="2317"/>
      <c r="H102" s="2317"/>
      <c r="I102" s="2317"/>
      <c r="J102" s="2317"/>
      <c r="K102" s="2317"/>
      <c r="L102" s="2317"/>
      <c r="M102" s="2317"/>
      <c r="N102" s="2317"/>
      <c r="O102" s="2317"/>
      <c r="P102" s="2317"/>
      <c r="Q102" s="2317"/>
      <c r="R102" s="2317"/>
      <c r="S102" s="360"/>
    </row>
    <row r="103" spans="1:19" ht="11.25" customHeight="1" x14ac:dyDescent="0.25">
      <c r="A103" s="2299"/>
      <c r="B103" s="2303"/>
      <c r="C103" s="2317"/>
      <c r="D103" s="2317"/>
      <c r="E103" s="2317"/>
      <c r="F103" s="2317"/>
      <c r="G103" s="2317"/>
      <c r="H103" s="2317"/>
      <c r="I103" s="2317"/>
      <c r="J103" s="2317"/>
      <c r="K103" s="2317"/>
      <c r="L103" s="2317"/>
      <c r="M103" s="2317"/>
      <c r="N103" s="2317"/>
      <c r="O103" s="2317"/>
      <c r="P103" s="2317"/>
      <c r="Q103" s="2317"/>
      <c r="R103" s="2317"/>
      <c r="S103" s="360"/>
    </row>
    <row r="104" spans="1:19" ht="11.25" customHeight="1" x14ac:dyDescent="0.25">
      <c r="A104" s="2304"/>
      <c r="B104" s="2303"/>
      <c r="C104" s="261"/>
      <c r="D104" s="261"/>
      <c r="E104" s="261"/>
      <c r="F104" s="261"/>
      <c r="G104" s="261"/>
      <c r="H104" s="261"/>
      <c r="I104" s="261"/>
      <c r="J104" s="261"/>
      <c r="K104" s="261"/>
      <c r="L104" s="261"/>
      <c r="M104" s="261"/>
      <c r="N104" s="261"/>
      <c r="O104" s="261"/>
      <c r="P104" s="261"/>
      <c r="Q104" s="261"/>
      <c r="R104" s="261"/>
      <c r="S104" s="360"/>
    </row>
    <row r="105" spans="1:19" ht="5.15" customHeight="1" x14ac:dyDescent="0.25">
      <c r="A105" s="2305"/>
      <c r="B105" s="2300"/>
      <c r="C105" s="363"/>
      <c r="D105" s="363"/>
      <c r="E105" s="363"/>
      <c r="F105" s="363"/>
      <c r="G105" s="363"/>
      <c r="H105" s="363"/>
      <c r="I105" s="363"/>
      <c r="J105" s="363"/>
      <c r="K105" s="363"/>
      <c r="L105" s="363"/>
      <c r="M105" s="363"/>
      <c r="N105" s="363"/>
      <c r="O105" s="363"/>
      <c r="P105" s="363"/>
      <c r="Q105" s="363"/>
      <c r="R105" s="363"/>
      <c r="S105" s="360"/>
    </row>
    <row r="106" spans="1:19" s="709" customFormat="1" x14ac:dyDescent="0.25">
      <c r="A106" s="2318"/>
      <c r="B106" s="2309"/>
      <c r="C106" s="1040"/>
      <c r="D106" s="1040"/>
      <c r="E106" s="1040"/>
      <c r="F106" s="1040"/>
      <c r="G106" s="1040"/>
      <c r="H106" s="1040"/>
      <c r="I106" s="1040"/>
      <c r="J106" s="1040"/>
      <c r="K106" s="1040"/>
      <c r="L106" s="1040"/>
      <c r="M106" s="1040"/>
      <c r="N106" s="1040"/>
      <c r="O106" s="1040"/>
      <c r="P106" s="1040"/>
      <c r="Q106" s="1040"/>
      <c r="R106" s="1040"/>
      <c r="S106" s="1062"/>
    </row>
    <row r="107" spans="1:19" s="709" customFormat="1" x14ac:dyDescent="0.25">
      <c r="A107" s="2319"/>
      <c r="B107" s="2309"/>
      <c r="C107" s="1040"/>
      <c r="D107" s="1040"/>
      <c r="E107" s="1040"/>
      <c r="F107" s="1040"/>
      <c r="G107" s="1040"/>
      <c r="H107" s="1040"/>
      <c r="I107" s="1040"/>
      <c r="J107" s="1040"/>
      <c r="K107" s="1040"/>
      <c r="L107" s="1040"/>
      <c r="M107" s="1040"/>
      <c r="N107" s="1040"/>
      <c r="O107" s="1040"/>
      <c r="P107" s="1040"/>
      <c r="Q107" s="1040"/>
      <c r="R107" s="1040"/>
      <c r="S107" s="1062"/>
    </row>
    <row r="108" spans="1:19" s="709" customFormat="1" x14ac:dyDescent="0.25">
      <c r="A108" s="2319"/>
      <c r="B108" s="2309"/>
      <c r="C108" s="1040"/>
      <c r="D108" s="1040"/>
      <c r="E108" s="1040"/>
      <c r="F108" s="1040"/>
      <c r="G108" s="1040"/>
      <c r="H108" s="1040"/>
      <c r="I108" s="1040"/>
      <c r="J108" s="1040"/>
      <c r="K108" s="1040"/>
      <c r="L108" s="1040"/>
      <c r="M108" s="1040"/>
      <c r="N108" s="1040"/>
      <c r="O108" s="1040"/>
      <c r="P108" s="1040"/>
      <c r="Q108" s="1040"/>
      <c r="R108" s="1040"/>
      <c r="S108" s="1062"/>
    </row>
    <row r="109" spans="1:19" s="709" customFormat="1" x14ac:dyDescent="0.25">
      <c r="A109" s="1515"/>
      <c r="B109" s="2309"/>
      <c r="C109" s="1040"/>
      <c r="D109" s="1040"/>
      <c r="E109" s="1040"/>
      <c r="F109" s="1040"/>
      <c r="G109" s="1040"/>
      <c r="H109" s="1040"/>
      <c r="I109" s="1040"/>
      <c r="J109" s="1040"/>
      <c r="K109" s="1040"/>
      <c r="L109" s="1040"/>
      <c r="M109" s="1040"/>
      <c r="N109" s="1040"/>
      <c r="O109" s="1040"/>
      <c r="P109" s="1040"/>
      <c r="Q109" s="1040"/>
      <c r="R109" s="1040"/>
      <c r="S109" s="1062"/>
    </row>
    <row r="110" spans="1:19" s="709" customFormat="1" x14ac:dyDescent="0.25">
      <c r="A110" s="2319"/>
      <c r="B110" s="2309"/>
      <c r="C110" s="1040"/>
      <c r="D110" s="1040"/>
      <c r="E110" s="1040"/>
      <c r="F110" s="1040"/>
      <c r="G110" s="1040"/>
      <c r="H110" s="1040"/>
      <c r="I110" s="1040"/>
      <c r="J110" s="1040"/>
      <c r="K110" s="1040"/>
      <c r="L110" s="1040"/>
      <c r="M110" s="1040"/>
      <c r="N110" s="1040"/>
      <c r="O110" s="1040"/>
      <c r="P110" s="1040"/>
      <c r="Q110" s="1040"/>
      <c r="R110" s="1040"/>
      <c r="S110" s="1062"/>
    </row>
    <row r="111" spans="1:19" x14ac:dyDescent="0.25">
      <c r="A111" s="1158"/>
      <c r="B111" s="2300"/>
      <c r="C111" s="237"/>
      <c r="D111" s="237"/>
      <c r="E111" s="237"/>
      <c r="F111" s="237"/>
      <c r="G111" s="238"/>
      <c r="H111" s="238"/>
      <c r="I111" s="238"/>
      <c r="J111" s="238"/>
      <c r="K111" s="238"/>
      <c r="L111" s="238"/>
      <c r="M111" s="238"/>
      <c r="N111" s="238"/>
      <c r="O111" s="238"/>
      <c r="P111" s="238"/>
      <c r="Q111" s="238"/>
      <c r="R111" s="238"/>
      <c r="S111" s="360"/>
    </row>
    <row r="112" spans="1:19" x14ac:dyDescent="0.25">
      <c r="A112" s="1158"/>
      <c r="B112" s="2300"/>
      <c r="C112" s="237"/>
      <c r="D112" s="237"/>
      <c r="E112" s="237"/>
      <c r="F112" s="237"/>
      <c r="G112" s="238"/>
      <c r="H112" s="238"/>
      <c r="I112" s="238"/>
      <c r="J112" s="238"/>
      <c r="K112" s="238"/>
      <c r="L112" s="238"/>
      <c r="M112" s="238"/>
      <c r="N112" s="238"/>
      <c r="O112" s="238"/>
      <c r="P112" s="238"/>
      <c r="Q112" s="238"/>
      <c r="R112" s="238"/>
      <c r="S112" s="360"/>
    </row>
    <row r="113" spans="1:9" ht="11.25" customHeight="1" x14ac:dyDescent="0.25">
      <c r="A113" s="246"/>
      <c r="B113" s="652"/>
      <c r="C113" s="246"/>
      <c r="D113" s="246"/>
      <c r="E113" s="246"/>
      <c r="F113" s="246"/>
      <c r="G113" s="246"/>
      <c r="H113" s="246"/>
      <c r="I113" s="246"/>
    </row>
    <row r="114" spans="1:9" ht="11.25" customHeight="1" x14ac:dyDescent="0.25">
      <c r="A114" s="246"/>
      <c r="B114" s="653"/>
      <c r="C114" s="246"/>
      <c r="D114" s="246"/>
      <c r="E114" s="246"/>
      <c r="F114" s="246"/>
      <c r="G114" s="246"/>
      <c r="H114" s="246"/>
      <c r="I114" s="246"/>
    </row>
    <row r="115" spans="1:9" ht="11.25" customHeight="1" x14ac:dyDescent="0.25">
      <c r="A115" s="246"/>
      <c r="B115" s="653"/>
      <c r="C115" s="246"/>
      <c r="D115" s="246"/>
      <c r="E115" s="246"/>
      <c r="F115" s="246"/>
      <c r="G115" s="246"/>
      <c r="H115" s="246"/>
      <c r="I115" s="246"/>
    </row>
    <row r="116" spans="1:9" ht="11.25" customHeight="1" x14ac:dyDescent="0.25">
      <c r="A116" s="246"/>
      <c r="B116" s="653"/>
      <c r="C116" s="246"/>
      <c r="D116" s="246"/>
      <c r="E116" s="246"/>
      <c r="F116" s="246"/>
      <c r="G116" s="246"/>
      <c r="H116" s="246"/>
      <c r="I116" s="246"/>
    </row>
    <row r="117" spans="1:9" ht="11.25" customHeight="1" x14ac:dyDescent="0.25">
      <c r="A117" s="246"/>
      <c r="B117" s="652"/>
      <c r="C117" s="246"/>
      <c r="D117" s="246"/>
      <c r="E117" s="246"/>
      <c r="F117" s="246"/>
      <c r="G117" s="246"/>
      <c r="H117" s="246"/>
      <c r="I117" s="246"/>
    </row>
    <row r="118" spans="1:9" ht="11.25" customHeight="1" x14ac:dyDescent="0.25"/>
    <row r="119" spans="1:9" ht="11.25" customHeight="1" x14ac:dyDescent="0.25"/>
    <row r="120" spans="1:9" ht="11.25" customHeight="1" x14ac:dyDescent="0.25"/>
    <row r="121" spans="1:9" ht="11.25" customHeight="1" x14ac:dyDescent="0.25"/>
    <row r="122" spans="1:9" ht="11.25" customHeight="1" x14ac:dyDescent="0.25"/>
    <row r="123" spans="1:9" ht="11.25" customHeight="1" x14ac:dyDescent="0.25"/>
    <row r="124" spans="1:9" ht="11.25" customHeight="1" x14ac:dyDescent="0.25"/>
    <row r="125" spans="1:9" ht="11.25" customHeight="1" x14ac:dyDescent="0.25"/>
    <row r="126" spans="1:9" ht="11.25" customHeight="1" x14ac:dyDescent="0.25"/>
    <row r="127" spans="1:9" ht="11.25" customHeight="1" x14ac:dyDescent="0.25"/>
    <row r="128" spans="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phoneticPr fontId="2"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2"/>
  </sheetPr>
  <dimension ref="A1:S146"/>
  <sheetViews>
    <sheetView showGridLines="0" zoomScaleNormal="100" workbookViewId="0">
      <pane xSplit="2" ySplit="2" topLeftCell="C42" activePane="bottomRight" state="frozen"/>
      <selection pane="topRight"/>
      <selection pane="bottomLeft"/>
      <selection pane="bottomRight" activeCell="C47" sqref="C47"/>
    </sheetView>
  </sheetViews>
  <sheetFormatPr defaultColWidth="9.1796875" defaultRowHeight="10.5" x14ac:dyDescent="0.25"/>
  <cols>
    <col min="1" max="1" width="30.7265625" style="149" customWidth="1"/>
    <col min="2" max="2" width="3" style="654" customWidth="1"/>
    <col min="3" max="18" width="8.1796875" style="149" customWidth="1"/>
    <col min="19" max="19" width="9.81640625" style="149" customWidth="1"/>
    <col min="20" max="20" width="9.54296875" style="149" customWidth="1"/>
    <col min="21" max="21" width="9.81640625" style="149" customWidth="1"/>
    <col min="22" max="24" width="9.54296875" style="149" customWidth="1"/>
    <col min="25" max="25" width="9.81640625" style="149" customWidth="1"/>
    <col min="26" max="28" width="9.54296875" style="149" customWidth="1"/>
    <col min="29" max="30" width="9.81640625" style="149" customWidth="1"/>
    <col min="31" max="16384" width="9.1796875" style="149"/>
  </cols>
  <sheetData>
    <row r="1" spans="1:18" ht="13" x14ac:dyDescent="0.3">
      <c r="A1" s="147" t="str">
        <f>muni&amp;" - "&amp;TableA12b</f>
        <v>KZN225 Msunduzi - Supporting Table SA12b Property rates by category (budget year)</v>
      </c>
      <c r="B1" s="633"/>
      <c r="C1" s="147"/>
      <c r="D1" s="147"/>
      <c r="E1" s="147"/>
      <c r="F1" s="147"/>
      <c r="G1" s="147"/>
      <c r="H1" s="147"/>
      <c r="I1" s="147"/>
      <c r="J1" s="147"/>
      <c r="K1" s="147"/>
      <c r="L1" s="147"/>
      <c r="M1" s="147"/>
      <c r="N1" s="147"/>
      <c r="O1" s="147"/>
      <c r="P1" s="147"/>
      <c r="Q1" s="147"/>
      <c r="R1" s="147"/>
    </row>
    <row r="2" spans="1:18" ht="31.5" x14ac:dyDescent="0.25">
      <c r="A2" s="634" t="str">
        <f>desc</f>
        <v>Description</v>
      </c>
      <c r="B2" s="635" t="str">
        <f>head27</f>
        <v>Ref</v>
      </c>
      <c r="C2" s="519" t="s">
        <v>1072</v>
      </c>
      <c r="D2" s="519" t="s">
        <v>1073</v>
      </c>
      <c r="E2" s="519" t="s">
        <v>1074</v>
      </c>
      <c r="F2" s="519" t="s">
        <v>1075</v>
      </c>
      <c r="G2" s="519" t="s">
        <v>1451</v>
      </c>
      <c r="H2" s="519" t="s">
        <v>1534</v>
      </c>
      <c r="I2" s="519" t="s">
        <v>1452</v>
      </c>
      <c r="J2" s="519" t="s">
        <v>1076</v>
      </c>
      <c r="K2" s="519" t="s">
        <v>413</v>
      </c>
      <c r="L2" s="519" t="s">
        <v>1077</v>
      </c>
      <c r="M2" s="519" t="s">
        <v>414</v>
      </c>
      <c r="N2" s="519" t="s">
        <v>1535</v>
      </c>
      <c r="O2" s="519" t="s">
        <v>1078</v>
      </c>
      <c r="P2" s="519" t="s">
        <v>415</v>
      </c>
      <c r="Q2" s="519" t="s">
        <v>1536</v>
      </c>
      <c r="R2" s="636" t="s">
        <v>1537</v>
      </c>
    </row>
    <row r="3" spans="1:18" ht="11.25" customHeight="1" x14ac:dyDescent="0.25">
      <c r="A3" s="249" t="str">
        <f>Head9</f>
        <v>Budget Year 2013/14</v>
      </c>
      <c r="B3" s="182"/>
      <c r="C3" s="637"/>
      <c r="D3" s="637"/>
      <c r="E3" s="637"/>
      <c r="F3" s="637"/>
      <c r="G3" s="637"/>
      <c r="H3" s="637"/>
      <c r="I3" s="637"/>
      <c r="J3" s="637"/>
      <c r="K3" s="637"/>
      <c r="L3" s="637"/>
      <c r="M3" s="637"/>
      <c r="N3" s="637"/>
      <c r="O3" s="637"/>
      <c r="P3" s="637"/>
      <c r="Q3" s="637"/>
      <c r="R3" s="638"/>
    </row>
    <row r="4" spans="1:18" ht="11.25" customHeight="1" x14ac:dyDescent="0.25">
      <c r="A4" s="249" t="s">
        <v>757</v>
      </c>
      <c r="B4" s="182"/>
      <c r="C4" s="637"/>
      <c r="D4" s="637"/>
      <c r="E4" s="637"/>
      <c r="F4" s="637"/>
      <c r="G4" s="637"/>
      <c r="H4" s="637"/>
      <c r="I4" s="637"/>
      <c r="J4" s="637"/>
      <c r="K4" s="637"/>
      <c r="L4" s="637"/>
      <c r="M4" s="637"/>
      <c r="N4" s="637"/>
      <c r="O4" s="637"/>
      <c r="P4" s="637"/>
      <c r="Q4" s="637"/>
      <c r="R4" s="638"/>
    </row>
    <row r="5" spans="1:18" ht="11.25" customHeight="1" x14ac:dyDescent="0.25">
      <c r="A5" s="250" t="s">
        <v>410</v>
      </c>
      <c r="B5" s="182"/>
      <c r="C5" s="1666"/>
      <c r="D5" s="1666"/>
      <c r="E5" s="1666"/>
      <c r="F5" s="1666"/>
      <c r="G5" s="1666"/>
      <c r="H5" s="1666"/>
      <c r="I5" s="1666"/>
      <c r="J5" s="1666"/>
      <c r="K5" s="1666"/>
      <c r="L5" s="1666"/>
      <c r="M5" s="1666"/>
      <c r="N5" s="1666"/>
      <c r="O5" s="1666"/>
      <c r="P5" s="1666"/>
      <c r="Q5" s="1666"/>
      <c r="R5" s="1894"/>
    </row>
    <row r="6" spans="1:18" ht="11.25" customHeight="1" x14ac:dyDescent="0.25">
      <c r="A6" s="250" t="s">
        <v>1389</v>
      </c>
      <c r="B6" s="182"/>
      <c r="C6" s="1666"/>
      <c r="D6" s="1666"/>
      <c r="E6" s="1666"/>
      <c r="F6" s="1666"/>
      <c r="G6" s="1666"/>
      <c r="H6" s="1666"/>
      <c r="I6" s="1666"/>
      <c r="J6" s="1666"/>
      <c r="K6" s="1666"/>
      <c r="L6" s="1666"/>
      <c r="M6" s="1666"/>
      <c r="N6" s="1666"/>
      <c r="O6" s="1666"/>
      <c r="P6" s="1666"/>
      <c r="Q6" s="1666"/>
      <c r="R6" s="1894"/>
    </row>
    <row r="7" spans="1:18" ht="11.25" customHeight="1" x14ac:dyDescent="0.25">
      <c r="A7" s="250" t="s">
        <v>412</v>
      </c>
      <c r="B7" s="182"/>
      <c r="C7" s="1666"/>
      <c r="D7" s="1666"/>
      <c r="E7" s="1666"/>
      <c r="F7" s="1666"/>
      <c r="G7" s="1666"/>
      <c r="H7" s="1666"/>
      <c r="I7" s="1666"/>
      <c r="J7" s="1666"/>
      <c r="K7" s="1666"/>
      <c r="L7" s="1666"/>
      <c r="M7" s="1666"/>
      <c r="N7" s="1666"/>
      <c r="O7" s="1666"/>
      <c r="P7" s="1666"/>
      <c r="Q7" s="1666"/>
      <c r="R7" s="1894"/>
    </row>
    <row r="8" spans="1:18" ht="11.25" customHeight="1" x14ac:dyDescent="0.25">
      <c r="A8" s="250" t="s">
        <v>748</v>
      </c>
      <c r="B8" s="182"/>
      <c r="C8" s="1666"/>
      <c r="D8" s="1666"/>
      <c r="E8" s="1666"/>
      <c r="F8" s="1666"/>
      <c r="G8" s="1666"/>
      <c r="H8" s="1666"/>
      <c r="I8" s="1666"/>
      <c r="J8" s="1666"/>
      <c r="K8" s="1666"/>
      <c r="L8" s="1666"/>
      <c r="M8" s="1666"/>
      <c r="N8" s="1666"/>
      <c r="O8" s="1666"/>
      <c r="P8" s="1666"/>
      <c r="Q8" s="1666"/>
      <c r="R8" s="1894"/>
    </row>
    <row r="9" spans="1:18" ht="11.25" customHeight="1" x14ac:dyDescent="0.25">
      <c r="A9" s="250" t="s">
        <v>1390</v>
      </c>
      <c r="B9" s="182"/>
      <c r="C9" s="1666"/>
      <c r="D9" s="1666"/>
      <c r="E9" s="1666"/>
      <c r="F9" s="1666"/>
      <c r="G9" s="1666"/>
      <c r="H9" s="1666"/>
      <c r="I9" s="1666"/>
      <c r="J9" s="1666"/>
      <c r="K9" s="1666"/>
      <c r="L9" s="1666"/>
      <c r="M9" s="1666"/>
      <c r="N9" s="1666"/>
      <c r="O9" s="1666"/>
      <c r="P9" s="1666"/>
      <c r="Q9" s="1666"/>
      <c r="R9" s="1894"/>
    </row>
    <row r="10" spans="1:18" ht="11.25" customHeight="1" x14ac:dyDescent="0.25">
      <c r="A10" s="250" t="s">
        <v>749</v>
      </c>
      <c r="B10" s="182"/>
      <c r="C10" s="1666"/>
      <c r="D10" s="1666"/>
      <c r="E10" s="1666"/>
      <c r="F10" s="1666"/>
      <c r="G10" s="1666"/>
      <c r="H10" s="1666"/>
      <c r="I10" s="1666"/>
      <c r="J10" s="1666"/>
      <c r="K10" s="1666"/>
      <c r="L10" s="1666"/>
      <c r="M10" s="1666"/>
      <c r="N10" s="1666"/>
      <c r="O10" s="1666"/>
      <c r="P10" s="1666"/>
      <c r="Q10" s="1666"/>
      <c r="R10" s="1894"/>
    </row>
    <row r="11" spans="1:18" ht="11.25" customHeight="1" x14ac:dyDescent="0.25">
      <c r="A11" s="250" t="s">
        <v>367</v>
      </c>
      <c r="B11" s="182"/>
      <c r="C11" s="1666"/>
      <c r="D11" s="1666"/>
      <c r="E11" s="1666"/>
      <c r="F11" s="1666"/>
      <c r="G11" s="1666"/>
      <c r="H11" s="1666"/>
      <c r="I11" s="1666"/>
      <c r="J11" s="1666"/>
      <c r="K11" s="1666"/>
      <c r="L11" s="1666"/>
      <c r="M11" s="1666"/>
      <c r="N11" s="1666"/>
      <c r="O11" s="1666"/>
      <c r="P11" s="1666"/>
      <c r="Q11" s="1666"/>
      <c r="R11" s="1894"/>
    </row>
    <row r="12" spans="1:18" ht="11.25" customHeight="1" x14ac:dyDescent="0.25">
      <c r="A12" s="250" t="s">
        <v>368</v>
      </c>
      <c r="B12" s="182"/>
      <c r="C12" s="1666"/>
      <c r="D12" s="1666"/>
      <c r="E12" s="1666"/>
      <c r="F12" s="1666"/>
      <c r="G12" s="1666"/>
      <c r="H12" s="1666"/>
      <c r="I12" s="1666"/>
      <c r="J12" s="1666"/>
      <c r="K12" s="1666"/>
      <c r="L12" s="1666"/>
      <c r="M12" s="1666"/>
      <c r="N12" s="1666"/>
      <c r="O12" s="1666"/>
      <c r="P12" s="1666"/>
      <c r="Q12" s="1666"/>
      <c r="R12" s="1894"/>
    </row>
    <row r="13" spans="1:18" ht="11.25" customHeight="1" x14ac:dyDescent="0.25">
      <c r="A13" s="250" t="s">
        <v>369</v>
      </c>
      <c r="B13" s="182"/>
      <c r="C13" s="1666"/>
      <c r="D13" s="1666"/>
      <c r="E13" s="1666"/>
      <c r="F13" s="1666"/>
      <c r="G13" s="1666"/>
      <c r="H13" s="1666"/>
      <c r="I13" s="1666"/>
      <c r="J13" s="1666"/>
      <c r="K13" s="1666"/>
      <c r="L13" s="1666"/>
      <c r="M13" s="1666"/>
      <c r="N13" s="1666"/>
      <c r="O13" s="1666"/>
      <c r="P13" s="1666"/>
      <c r="Q13" s="1666"/>
      <c r="R13" s="1894"/>
    </row>
    <row r="14" spans="1:18" ht="11.25" customHeight="1" x14ac:dyDescent="0.25">
      <c r="A14" s="250" t="s">
        <v>759</v>
      </c>
      <c r="B14" s="182">
        <v>5</v>
      </c>
      <c r="C14" s="1666"/>
      <c r="D14" s="1666"/>
      <c r="E14" s="1666"/>
      <c r="F14" s="1666"/>
      <c r="G14" s="1666"/>
      <c r="H14" s="1666"/>
      <c r="I14" s="1666"/>
      <c r="J14" s="1666"/>
      <c r="K14" s="1666"/>
      <c r="L14" s="1666"/>
      <c r="M14" s="1666"/>
      <c r="N14" s="1666"/>
      <c r="O14" s="1666"/>
      <c r="P14" s="1666"/>
      <c r="Q14" s="1666"/>
      <c r="R14" s="1894"/>
    </row>
    <row r="15" spans="1:18" ht="11.25" customHeight="1" x14ac:dyDescent="0.25">
      <c r="A15" s="250" t="s">
        <v>747</v>
      </c>
      <c r="B15" s="182">
        <v>5</v>
      </c>
      <c r="C15" s="1666"/>
      <c r="D15" s="1666"/>
      <c r="E15" s="1666"/>
      <c r="F15" s="1666"/>
      <c r="G15" s="1666"/>
      <c r="H15" s="1666"/>
      <c r="I15" s="1666"/>
      <c r="J15" s="1666"/>
      <c r="K15" s="1666"/>
      <c r="L15" s="1666"/>
      <c r="M15" s="1666"/>
      <c r="N15" s="1666"/>
      <c r="O15" s="1666"/>
      <c r="P15" s="1666"/>
      <c r="Q15" s="1666"/>
      <c r="R15" s="1894"/>
    </row>
    <row r="16" spans="1:18" ht="11.25" customHeight="1" x14ac:dyDescent="0.25">
      <c r="A16" s="254" t="s">
        <v>1391</v>
      </c>
      <c r="B16" s="350"/>
      <c r="C16" s="1661"/>
      <c r="D16" s="1661"/>
      <c r="E16" s="1661"/>
      <c r="F16" s="1661"/>
      <c r="G16" s="1661"/>
      <c r="H16" s="1661"/>
      <c r="I16" s="1672"/>
      <c r="J16" s="1661"/>
      <c r="K16" s="1661"/>
      <c r="L16" s="1661"/>
      <c r="M16" s="1661"/>
      <c r="N16" s="1661"/>
      <c r="O16" s="1661"/>
      <c r="P16" s="1661"/>
      <c r="Q16" s="1661"/>
      <c r="R16" s="1895"/>
    </row>
    <row r="17" spans="1:18" ht="11.25" customHeight="1" x14ac:dyDescent="0.25">
      <c r="A17" s="250" t="s">
        <v>1673</v>
      </c>
      <c r="B17" s="182"/>
      <c r="C17" s="1826"/>
      <c r="D17" s="1826"/>
      <c r="E17" s="1826"/>
      <c r="F17" s="1826"/>
      <c r="G17" s="1826"/>
      <c r="H17" s="1826"/>
      <c r="I17" s="1826"/>
      <c r="J17" s="1826"/>
      <c r="K17" s="1826"/>
      <c r="L17" s="1826"/>
      <c r="M17" s="1826"/>
      <c r="N17" s="1826"/>
      <c r="O17" s="1826"/>
      <c r="P17" s="1826"/>
      <c r="Q17" s="1826"/>
      <c r="R17" s="1827"/>
    </row>
    <row r="18" spans="1:18" ht="11.25" customHeight="1" x14ac:dyDescent="0.25">
      <c r="A18" s="250" t="s">
        <v>1674</v>
      </c>
      <c r="B18" s="182"/>
      <c r="C18" s="1826"/>
      <c r="D18" s="1896"/>
      <c r="E18" s="1896"/>
      <c r="F18" s="1896"/>
      <c r="G18" s="1896"/>
      <c r="H18" s="1896"/>
      <c r="I18" s="1896"/>
      <c r="J18" s="1896"/>
      <c r="K18" s="1896"/>
      <c r="L18" s="1896"/>
      <c r="M18" s="1896"/>
      <c r="N18" s="1896"/>
      <c r="O18" s="1896"/>
      <c r="P18" s="1896"/>
      <c r="Q18" s="1896"/>
      <c r="R18" s="1897"/>
    </row>
    <row r="19" spans="1:18" ht="11.25" customHeight="1" x14ac:dyDescent="0.25">
      <c r="A19" s="250" t="s">
        <v>1675</v>
      </c>
      <c r="B19" s="182"/>
      <c r="C19" s="1826"/>
      <c r="D19" s="1826"/>
      <c r="E19" s="1826"/>
      <c r="F19" s="1826"/>
      <c r="G19" s="1826"/>
      <c r="H19" s="1826"/>
      <c r="I19" s="1826"/>
      <c r="J19" s="1826"/>
      <c r="K19" s="1826"/>
      <c r="L19" s="1826"/>
      <c r="M19" s="1826"/>
      <c r="N19" s="1826"/>
      <c r="O19" s="1826"/>
      <c r="P19" s="1826"/>
      <c r="Q19" s="1826"/>
      <c r="R19" s="1827"/>
    </row>
    <row r="20" spans="1:18" ht="11.25" customHeight="1" x14ac:dyDescent="0.25">
      <c r="A20" s="250" t="s">
        <v>1676</v>
      </c>
      <c r="B20" s="182"/>
      <c r="C20" s="1826"/>
      <c r="D20" s="1826"/>
      <c r="E20" s="1826"/>
      <c r="F20" s="1826"/>
      <c r="G20" s="1826"/>
      <c r="H20" s="1826"/>
      <c r="I20" s="1826"/>
      <c r="J20" s="1826"/>
      <c r="K20" s="1826"/>
      <c r="L20" s="1826"/>
      <c r="M20" s="1826"/>
      <c r="N20" s="1826"/>
      <c r="O20" s="1826"/>
      <c r="P20" s="1826"/>
      <c r="Q20" s="1826"/>
      <c r="R20" s="1827"/>
    </row>
    <row r="21" spans="1:18" ht="11.25" customHeight="1" x14ac:dyDescent="0.25">
      <c r="A21" s="250" t="s">
        <v>164</v>
      </c>
      <c r="B21" s="182"/>
      <c r="C21" s="1826"/>
      <c r="D21" s="1826"/>
      <c r="E21" s="1826"/>
      <c r="F21" s="1826"/>
      <c r="G21" s="1826"/>
      <c r="H21" s="1826"/>
      <c r="I21" s="1826"/>
      <c r="J21" s="1826"/>
      <c r="K21" s="1826"/>
      <c r="L21" s="1826"/>
      <c r="M21" s="1826"/>
      <c r="N21" s="1826"/>
      <c r="O21" s="1826"/>
      <c r="P21" s="1826"/>
      <c r="Q21" s="1826"/>
      <c r="R21" s="1827"/>
    </row>
    <row r="22" spans="1:18" ht="11.25" customHeight="1" x14ac:dyDescent="0.25">
      <c r="A22" s="250" t="s">
        <v>676</v>
      </c>
      <c r="B22" s="639"/>
      <c r="C22" s="1826"/>
      <c r="D22" s="1826"/>
      <c r="E22" s="1826"/>
      <c r="F22" s="1826"/>
      <c r="G22" s="1826"/>
      <c r="H22" s="1826"/>
      <c r="I22" s="1826"/>
      <c r="J22" s="1826"/>
      <c r="K22" s="1826"/>
      <c r="L22" s="1826"/>
      <c r="M22" s="1826"/>
      <c r="N22" s="1826"/>
      <c r="O22" s="1826"/>
      <c r="P22" s="1826"/>
      <c r="Q22" s="1826"/>
      <c r="R22" s="1827"/>
    </row>
    <row r="23" spans="1:18" ht="11.25" customHeight="1" x14ac:dyDescent="0.25">
      <c r="A23" s="250" t="s">
        <v>677</v>
      </c>
      <c r="B23" s="639"/>
      <c r="C23" s="1826"/>
      <c r="D23" s="1826"/>
      <c r="E23" s="1826"/>
      <c r="F23" s="1826"/>
      <c r="G23" s="1826"/>
      <c r="H23" s="1826"/>
      <c r="I23" s="1826"/>
      <c r="J23" s="1826"/>
      <c r="K23" s="1826"/>
      <c r="L23" s="1826"/>
      <c r="M23" s="1826"/>
      <c r="N23" s="1826"/>
      <c r="O23" s="1826"/>
      <c r="P23" s="1826"/>
      <c r="Q23" s="1826"/>
      <c r="R23" s="1827"/>
    </row>
    <row r="24" spans="1:18" ht="11.25" customHeight="1" x14ac:dyDescent="0.25">
      <c r="A24" s="250" t="s">
        <v>312</v>
      </c>
      <c r="B24" s="639"/>
      <c r="C24" s="1826"/>
      <c r="D24" s="1826"/>
      <c r="E24" s="1826"/>
      <c r="F24" s="1826"/>
      <c r="G24" s="1826"/>
      <c r="H24" s="1826"/>
      <c r="I24" s="1826"/>
      <c r="J24" s="1826"/>
      <c r="K24" s="1826"/>
      <c r="L24" s="1826"/>
      <c r="M24" s="1826"/>
      <c r="N24" s="1826"/>
      <c r="O24" s="1826"/>
      <c r="P24" s="1826"/>
      <c r="Q24" s="1826"/>
      <c r="R24" s="1827"/>
    </row>
    <row r="25" spans="1:18" ht="11.25" customHeight="1" x14ac:dyDescent="0.25">
      <c r="A25" s="249" t="s">
        <v>1531</v>
      </c>
      <c r="B25" s="182"/>
      <c r="C25" s="599"/>
      <c r="D25" s="599"/>
      <c r="E25" s="599"/>
      <c r="F25" s="599"/>
      <c r="G25" s="599"/>
      <c r="H25" s="599"/>
      <c r="I25" s="599"/>
      <c r="J25" s="599"/>
      <c r="K25" s="599"/>
      <c r="L25" s="599"/>
      <c r="M25" s="599"/>
      <c r="N25" s="599"/>
      <c r="O25" s="599"/>
      <c r="P25" s="599"/>
      <c r="Q25" s="599"/>
      <c r="R25" s="602"/>
    </row>
    <row r="26" spans="1:18" ht="11.25" customHeight="1" x14ac:dyDescent="0.25">
      <c r="A26" s="250" t="s">
        <v>522</v>
      </c>
      <c r="B26" s="182"/>
      <c r="C26" s="1848"/>
      <c r="D26" s="1848"/>
      <c r="E26" s="1848"/>
      <c r="F26" s="1848"/>
      <c r="G26" s="1848"/>
      <c r="H26" s="1848"/>
      <c r="I26" s="1848"/>
      <c r="J26" s="1848"/>
      <c r="K26" s="1848"/>
      <c r="L26" s="1848"/>
      <c r="M26" s="1848"/>
      <c r="N26" s="1848"/>
      <c r="O26" s="1848"/>
      <c r="P26" s="1848"/>
      <c r="Q26" s="1848"/>
      <c r="R26" s="1852"/>
    </row>
    <row r="27" spans="1:18" ht="11.25" customHeight="1" x14ac:dyDescent="0.25">
      <c r="A27" s="250" t="s">
        <v>523</v>
      </c>
      <c r="B27" s="182"/>
      <c r="C27" s="1848"/>
      <c r="D27" s="1848"/>
      <c r="E27" s="1848"/>
      <c r="F27" s="1848"/>
      <c r="G27" s="1848"/>
      <c r="H27" s="1848"/>
      <c r="I27" s="1848"/>
      <c r="J27" s="1848"/>
      <c r="K27" s="1848"/>
      <c r="L27" s="1848"/>
      <c r="M27" s="1848"/>
      <c r="N27" s="1848"/>
      <c r="O27" s="1848"/>
      <c r="P27" s="1848"/>
      <c r="Q27" s="1848"/>
      <c r="R27" s="1852"/>
    </row>
    <row r="28" spans="1:18" ht="11.25" customHeight="1" x14ac:dyDescent="0.25">
      <c r="A28" s="250" t="s">
        <v>524</v>
      </c>
      <c r="B28" s="182"/>
      <c r="C28" s="1848"/>
      <c r="D28" s="1848"/>
      <c r="E28" s="1848"/>
      <c r="F28" s="1848"/>
      <c r="G28" s="1848"/>
      <c r="H28" s="1848"/>
      <c r="I28" s="1848"/>
      <c r="J28" s="1848"/>
      <c r="K28" s="1848"/>
      <c r="L28" s="1848"/>
      <c r="M28" s="1848"/>
      <c r="N28" s="1848"/>
      <c r="O28" s="1848"/>
      <c r="P28" s="1848"/>
      <c r="Q28" s="1848"/>
      <c r="R28" s="1852"/>
    </row>
    <row r="29" spans="1:18" ht="11.25" customHeight="1" x14ac:dyDescent="0.25">
      <c r="A29" s="250" t="s">
        <v>525</v>
      </c>
      <c r="B29" s="182"/>
      <c r="C29" s="1848"/>
      <c r="D29" s="1848"/>
      <c r="E29" s="1848"/>
      <c r="F29" s="1848"/>
      <c r="G29" s="1848"/>
      <c r="H29" s="1848"/>
      <c r="I29" s="1848"/>
      <c r="J29" s="1848"/>
      <c r="K29" s="1848"/>
      <c r="L29" s="1848"/>
      <c r="M29" s="1848"/>
      <c r="N29" s="1848"/>
      <c r="O29" s="1848"/>
      <c r="P29" s="1848"/>
      <c r="Q29" s="1848"/>
      <c r="R29" s="1852"/>
    </row>
    <row r="30" spans="1:18" ht="11.25" customHeight="1" x14ac:dyDescent="0.25">
      <c r="A30" s="250" t="s">
        <v>526</v>
      </c>
      <c r="B30" s="182"/>
      <c r="C30" s="1848"/>
      <c r="D30" s="1848"/>
      <c r="E30" s="1848"/>
      <c r="F30" s="1848"/>
      <c r="G30" s="1848"/>
      <c r="H30" s="1848"/>
      <c r="I30" s="1848"/>
      <c r="J30" s="1848"/>
      <c r="K30" s="1848"/>
      <c r="L30" s="1848"/>
      <c r="M30" s="1848"/>
      <c r="N30" s="1848"/>
      <c r="O30" s="1848"/>
      <c r="P30" s="1848"/>
      <c r="Q30" s="1848"/>
      <c r="R30" s="1852"/>
    </row>
    <row r="31" spans="1:18" ht="11.25" customHeight="1" x14ac:dyDescent="0.25">
      <c r="A31" s="250" t="s">
        <v>527</v>
      </c>
      <c r="B31" s="639">
        <v>2</v>
      </c>
      <c r="C31" s="1848"/>
      <c r="D31" s="1848"/>
      <c r="E31" s="1848"/>
      <c r="F31" s="1848"/>
      <c r="G31" s="1848"/>
      <c r="H31" s="1848"/>
      <c r="I31" s="1848"/>
      <c r="J31" s="1848"/>
      <c r="K31" s="1848"/>
      <c r="L31" s="1848"/>
      <c r="M31" s="1848"/>
      <c r="N31" s="1848"/>
      <c r="O31" s="1848"/>
      <c r="P31" s="1848"/>
      <c r="Q31" s="1848"/>
      <c r="R31" s="1852"/>
    </row>
    <row r="32" spans="1:18" ht="11.25" customHeight="1" x14ac:dyDescent="0.25">
      <c r="A32" s="265" t="s">
        <v>1532</v>
      </c>
      <c r="B32" s="182"/>
      <c r="C32" s="640"/>
      <c r="D32" s="640"/>
      <c r="E32" s="640"/>
      <c r="F32" s="640"/>
      <c r="G32" s="640"/>
      <c r="H32" s="640"/>
      <c r="I32" s="640"/>
      <c r="J32" s="640"/>
      <c r="K32" s="640"/>
      <c r="L32" s="640"/>
      <c r="M32" s="640"/>
      <c r="N32" s="640"/>
      <c r="O32" s="640"/>
      <c r="P32" s="640"/>
      <c r="Q32" s="640"/>
      <c r="R32" s="641"/>
    </row>
    <row r="33" spans="1:19" ht="15.75" customHeight="1" x14ac:dyDescent="0.25">
      <c r="A33" s="250" t="s">
        <v>1445</v>
      </c>
      <c r="B33" s="182">
        <v>6</v>
      </c>
      <c r="C33" s="1854"/>
      <c r="D33" s="1854"/>
      <c r="E33" s="1854"/>
      <c r="F33" s="1854"/>
      <c r="G33" s="1854"/>
      <c r="H33" s="1854"/>
      <c r="I33" s="1854"/>
      <c r="J33" s="1854"/>
      <c r="K33" s="1854"/>
      <c r="L33" s="1854"/>
      <c r="M33" s="1854"/>
      <c r="N33" s="1854"/>
      <c r="O33" s="1854"/>
      <c r="P33" s="1854"/>
      <c r="Q33" s="1854"/>
      <c r="R33" s="1857"/>
    </row>
    <row r="34" spans="1:19" ht="11.25" customHeight="1" x14ac:dyDescent="0.25">
      <c r="A34" s="250" t="s">
        <v>1446</v>
      </c>
      <c r="B34" s="182">
        <v>6</v>
      </c>
      <c r="C34" s="1854"/>
      <c r="D34" s="1854"/>
      <c r="E34" s="1854"/>
      <c r="F34" s="1854"/>
      <c r="G34" s="1854"/>
      <c r="H34" s="1854"/>
      <c r="I34" s="1854"/>
      <c r="J34" s="1854"/>
      <c r="K34" s="1854"/>
      <c r="L34" s="1854"/>
      <c r="M34" s="1854"/>
      <c r="N34" s="1854"/>
      <c r="O34" s="1854"/>
      <c r="P34" s="1854"/>
      <c r="Q34" s="1854"/>
      <c r="R34" s="1857"/>
    </row>
    <row r="35" spans="1:19" ht="11.25" customHeight="1" x14ac:dyDescent="0.25">
      <c r="A35" s="250" t="s">
        <v>1447</v>
      </c>
      <c r="B35" s="182">
        <v>6</v>
      </c>
      <c r="C35" s="1854"/>
      <c r="D35" s="1854"/>
      <c r="E35" s="1854"/>
      <c r="F35" s="1854"/>
      <c r="G35" s="1854"/>
      <c r="H35" s="1854"/>
      <c r="I35" s="1854"/>
      <c r="J35" s="1854"/>
      <c r="K35" s="1854"/>
      <c r="L35" s="1854"/>
      <c r="M35" s="1854"/>
      <c r="N35" s="1854"/>
      <c r="O35" s="1854"/>
      <c r="P35" s="1854"/>
      <c r="Q35" s="1854"/>
      <c r="R35" s="1857"/>
    </row>
    <row r="36" spans="1:19" ht="11.25" customHeight="1" x14ac:dyDescent="0.25">
      <c r="A36" s="250" t="s">
        <v>1448</v>
      </c>
      <c r="B36" s="1535">
        <v>6</v>
      </c>
      <c r="C36" s="1859"/>
      <c r="D36" s="1859"/>
      <c r="E36" s="1859"/>
      <c r="F36" s="1859"/>
      <c r="G36" s="1859"/>
      <c r="H36" s="1859"/>
      <c r="I36" s="1859"/>
      <c r="J36" s="1859"/>
      <c r="K36" s="1859"/>
      <c r="L36" s="1859"/>
      <c r="M36" s="1859"/>
      <c r="N36" s="1859"/>
      <c r="O36" s="1859"/>
      <c r="P36" s="1859"/>
      <c r="Q36" s="1859"/>
      <c r="R36" s="1898"/>
    </row>
    <row r="37" spans="1:19" ht="15.75" customHeight="1" x14ac:dyDescent="0.25">
      <c r="A37" s="642" t="s">
        <v>1533</v>
      </c>
      <c r="B37" s="643"/>
      <c r="C37" s="644"/>
      <c r="D37" s="644"/>
      <c r="E37" s="644"/>
      <c r="F37" s="644"/>
      <c r="G37" s="644"/>
      <c r="H37" s="644"/>
      <c r="I37" s="644"/>
      <c r="J37" s="644"/>
      <c r="K37" s="644"/>
      <c r="L37" s="644"/>
      <c r="M37" s="644"/>
      <c r="N37" s="644"/>
      <c r="O37" s="644"/>
      <c r="P37" s="644"/>
      <c r="Q37" s="644"/>
      <c r="R37" s="645"/>
    </row>
    <row r="38" spans="1:19" ht="11.25" customHeight="1" x14ac:dyDescent="0.25">
      <c r="A38" s="254" t="s">
        <v>311</v>
      </c>
      <c r="B38" s="646">
        <v>3</v>
      </c>
      <c r="C38" s="1899">
        <v>1.11E-2</v>
      </c>
      <c r="D38" s="1899"/>
      <c r="E38" s="1899">
        <v>1.9599999999999999E-2</v>
      </c>
      <c r="F38" s="1899">
        <v>2.7000000000000001E-3</v>
      </c>
      <c r="G38" s="1899"/>
      <c r="H38" s="1899"/>
      <c r="I38" s="1899">
        <v>2.7000000000000001E-3</v>
      </c>
      <c r="J38" s="1899"/>
      <c r="K38" s="1899"/>
      <c r="L38" s="1899">
        <v>1.2999999999999999E-2</v>
      </c>
      <c r="M38" s="1899"/>
      <c r="N38" s="1899"/>
      <c r="O38" s="1899"/>
      <c r="P38" s="1899"/>
      <c r="Q38" s="1899"/>
      <c r="R38" s="1900">
        <v>1.9599999999999999E-2</v>
      </c>
      <c r="S38" s="370"/>
    </row>
    <row r="39" spans="1:19" ht="11.25" customHeight="1" x14ac:dyDescent="0.25">
      <c r="A39" s="254" t="s">
        <v>1449</v>
      </c>
      <c r="B39" s="646"/>
      <c r="C39" s="1614">
        <v>227019182</v>
      </c>
      <c r="D39" s="1614"/>
      <c r="E39" s="1614">
        <v>275064450</v>
      </c>
      <c r="F39" s="1614">
        <v>535147</v>
      </c>
      <c r="G39" s="1614"/>
      <c r="H39" s="1614"/>
      <c r="I39" s="1614">
        <v>443454</v>
      </c>
      <c r="J39" s="1614"/>
      <c r="K39" s="1614"/>
      <c r="L39" s="1614">
        <v>339140</v>
      </c>
      <c r="M39" s="1614"/>
      <c r="N39" s="1614"/>
      <c r="O39" s="1614"/>
      <c r="P39" s="1614"/>
      <c r="Q39" s="1614"/>
      <c r="R39" s="1617"/>
      <c r="S39" s="647">
        <f>SUM(C39:R39)</f>
        <v>503401373</v>
      </c>
    </row>
    <row r="40" spans="1:19" ht="11.25" customHeight="1" x14ac:dyDescent="0.25">
      <c r="A40" s="254" t="s">
        <v>1450</v>
      </c>
      <c r="B40" s="646"/>
      <c r="C40" s="1614">
        <v>183885537</v>
      </c>
      <c r="D40" s="1614"/>
      <c r="E40" s="1614">
        <v>228303493</v>
      </c>
      <c r="F40" s="1614">
        <v>481632</v>
      </c>
      <c r="G40" s="1614"/>
      <c r="H40" s="1614"/>
      <c r="I40" s="1614">
        <v>337025</v>
      </c>
      <c r="J40" s="1614"/>
      <c r="K40" s="1614"/>
      <c r="L40" s="1614">
        <v>0</v>
      </c>
      <c r="M40" s="1614"/>
      <c r="N40" s="1614"/>
      <c r="O40" s="1614"/>
      <c r="P40" s="1614"/>
      <c r="Q40" s="1614"/>
      <c r="R40" s="1617"/>
      <c r="S40" s="647">
        <f>SUM(C40:R40)</f>
        <v>413007687</v>
      </c>
    </row>
    <row r="41" spans="1:19" ht="11.25" customHeight="1" x14ac:dyDescent="0.25">
      <c r="A41" s="254" t="s">
        <v>1572</v>
      </c>
      <c r="B41" s="646">
        <v>4</v>
      </c>
      <c r="C41" s="1873">
        <v>0.80999999814993606</v>
      </c>
      <c r="D41" s="1873"/>
      <c r="E41" s="1873">
        <v>0.82999999818224424</v>
      </c>
      <c r="F41" s="1873">
        <v>0.89999943940636873</v>
      </c>
      <c r="G41" s="1873"/>
      <c r="H41" s="1873"/>
      <c r="I41" s="1873">
        <v>0.75999990979898702</v>
      </c>
      <c r="J41" s="1873"/>
      <c r="K41" s="1873"/>
      <c r="L41" s="1873">
        <v>0</v>
      </c>
      <c r="M41" s="1873"/>
      <c r="N41" s="1873"/>
      <c r="O41" s="1873"/>
      <c r="P41" s="1873"/>
      <c r="Q41" s="1873"/>
      <c r="R41" s="1876"/>
    </row>
    <row r="42" spans="1:19" ht="11.25" customHeight="1" x14ac:dyDescent="0.25">
      <c r="A42" s="254" t="s">
        <v>1490</v>
      </c>
      <c r="B42" s="646"/>
      <c r="C42" s="1637"/>
      <c r="D42" s="1637"/>
      <c r="E42" s="1637"/>
      <c r="F42" s="1637"/>
      <c r="G42" s="1637"/>
      <c r="H42" s="1637"/>
      <c r="I42" s="1637"/>
      <c r="J42" s="1637"/>
      <c r="K42" s="1637"/>
      <c r="L42" s="1637"/>
      <c r="M42" s="1637"/>
      <c r="N42" s="1637"/>
      <c r="O42" s="1637"/>
      <c r="P42" s="1637"/>
      <c r="Q42" s="1637"/>
      <c r="R42" s="1646"/>
      <c r="S42" s="370"/>
    </row>
    <row r="43" spans="1:19" ht="15.75" customHeight="1" x14ac:dyDescent="0.25">
      <c r="A43" s="254" t="s">
        <v>417</v>
      </c>
      <c r="B43" s="646"/>
      <c r="C43" s="1901"/>
      <c r="D43" s="1901"/>
      <c r="E43" s="1901"/>
      <c r="F43" s="1901"/>
      <c r="G43" s="1901"/>
      <c r="H43" s="1901"/>
      <c r="I43" s="1901"/>
      <c r="J43" s="1901"/>
      <c r="K43" s="1901"/>
      <c r="L43" s="1901"/>
      <c r="M43" s="1901"/>
      <c r="N43" s="1901"/>
      <c r="O43" s="1901"/>
      <c r="P43" s="1901"/>
      <c r="Q43" s="1901"/>
      <c r="R43" s="1902"/>
      <c r="S43" s="370"/>
    </row>
    <row r="44" spans="1:19" ht="11.25" customHeight="1" x14ac:dyDescent="0.25">
      <c r="A44" s="254" t="s">
        <v>518</v>
      </c>
      <c r="B44" s="646"/>
      <c r="C44" s="1637">
        <v>477111</v>
      </c>
      <c r="D44" s="1637"/>
      <c r="E44" s="1637"/>
      <c r="F44" s="1637"/>
      <c r="G44" s="1637"/>
      <c r="H44" s="1637"/>
      <c r="I44" s="1637"/>
      <c r="J44" s="1637"/>
      <c r="K44" s="1637"/>
      <c r="L44" s="1637"/>
      <c r="M44" s="1637"/>
      <c r="N44" s="1637"/>
      <c r="O44" s="1637"/>
      <c r="P44" s="1637"/>
      <c r="Q44" s="1637"/>
      <c r="R44" s="1646"/>
      <c r="S44" s="370"/>
    </row>
    <row r="45" spans="1:19" ht="11.25" customHeight="1" x14ac:dyDescent="0.25">
      <c r="A45" s="254" t="s">
        <v>519</v>
      </c>
      <c r="B45" s="646"/>
      <c r="C45" s="1637">
        <v>1795508</v>
      </c>
      <c r="D45" s="1637"/>
      <c r="E45" s="1637"/>
      <c r="F45" s="1637"/>
      <c r="G45" s="1637"/>
      <c r="H45" s="1637"/>
      <c r="I45" s="1637"/>
      <c r="J45" s="1637"/>
      <c r="K45" s="1637"/>
      <c r="L45" s="1637"/>
      <c r="M45" s="1637"/>
      <c r="N45" s="1637"/>
      <c r="O45" s="1637"/>
      <c r="P45" s="1637"/>
      <c r="Q45" s="1637"/>
      <c r="R45" s="1646"/>
      <c r="S45" s="370"/>
    </row>
    <row r="46" spans="1:19" ht="11.25" customHeight="1" x14ac:dyDescent="0.25">
      <c r="A46" s="254" t="s">
        <v>520</v>
      </c>
      <c r="B46" s="646"/>
      <c r="C46" s="1637"/>
      <c r="D46" s="1637"/>
      <c r="E46" s="1637"/>
      <c r="F46" s="1637"/>
      <c r="G46" s="1637"/>
      <c r="H46" s="1637"/>
      <c r="I46" s="1637"/>
      <c r="J46" s="1637"/>
      <c r="K46" s="1637"/>
      <c r="L46" s="1637"/>
      <c r="M46" s="1637"/>
      <c r="N46" s="1637"/>
      <c r="O46" s="1637"/>
      <c r="P46" s="1637"/>
      <c r="Q46" s="1637"/>
      <c r="R46" s="1646"/>
      <c r="S46" s="370"/>
    </row>
    <row r="47" spans="1:19" ht="11.25" customHeight="1" x14ac:dyDescent="0.25">
      <c r="A47" s="254" t="s">
        <v>1489</v>
      </c>
      <c r="B47" s="646"/>
      <c r="C47" s="1637">
        <v>3618428</v>
      </c>
      <c r="D47" s="1637"/>
      <c r="E47" s="1637"/>
      <c r="F47" s="1637"/>
      <c r="G47" s="1637"/>
      <c r="H47" s="1637"/>
      <c r="I47" s="1637"/>
      <c r="J47" s="1637"/>
      <c r="K47" s="1637"/>
      <c r="L47" s="1637"/>
      <c r="M47" s="1637"/>
      <c r="N47" s="1637"/>
      <c r="O47" s="1637"/>
      <c r="P47" s="1637"/>
      <c r="Q47" s="1637"/>
      <c r="R47" s="1646"/>
      <c r="S47" s="370"/>
    </row>
    <row r="48" spans="1:19" ht="11.25" customHeight="1" x14ac:dyDescent="0.25">
      <c r="A48" s="650" t="s">
        <v>661</v>
      </c>
      <c r="B48" s="639"/>
      <c r="C48" s="648"/>
      <c r="D48" s="648"/>
      <c r="E48" s="648"/>
      <c r="F48" s="648"/>
      <c r="G48" s="648"/>
      <c r="H48" s="648"/>
      <c r="I48" s="648"/>
      <c r="J48" s="648"/>
      <c r="K48" s="648"/>
      <c r="L48" s="648"/>
      <c r="M48" s="648"/>
      <c r="N48" s="648"/>
      <c r="O48" s="648"/>
      <c r="P48" s="648"/>
      <c r="Q48" s="648"/>
      <c r="R48" s="649"/>
      <c r="S48" s="370"/>
    </row>
    <row r="49" spans="1:19" ht="5.15" customHeight="1" x14ac:dyDescent="0.25">
      <c r="A49" s="651"/>
      <c r="B49" s="398"/>
      <c r="C49" s="629"/>
      <c r="D49" s="629"/>
      <c r="E49" s="629"/>
      <c r="F49" s="629"/>
      <c r="G49" s="629"/>
      <c r="H49" s="629"/>
      <c r="I49" s="629"/>
      <c r="J49" s="629"/>
      <c r="K49" s="629"/>
      <c r="L49" s="629"/>
      <c r="M49" s="629"/>
      <c r="N49" s="629"/>
      <c r="O49" s="629"/>
      <c r="P49" s="629"/>
      <c r="Q49" s="629"/>
      <c r="R49" s="630"/>
    </row>
    <row r="50" spans="1:19" s="709" customFormat="1" x14ac:dyDescent="0.25">
      <c r="A50" s="1261" t="str">
        <f>head27a</f>
        <v>References</v>
      </c>
      <c r="B50" s="1075"/>
      <c r="C50" s="1042"/>
      <c r="D50" s="1042"/>
      <c r="E50" s="1042"/>
      <c r="F50" s="1042"/>
      <c r="G50" s="1042"/>
      <c r="H50" s="1042"/>
      <c r="I50" s="1042"/>
      <c r="J50" s="1042"/>
      <c r="K50" s="1042"/>
      <c r="L50" s="1042"/>
      <c r="M50" s="1042"/>
      <c r="N50" s="1042"/>
      <c r="O50" s="1042"/>
      <c r="P50" s="1042"/>
      <c r="Q50" s="1042"/>
      <c r="R50" s="1042"/>
    </row>
    <row r="51" spans="1:19" s="709" customFormat="1" x14ac:dyDescent="0.25">
      <c r="A51" s="1416" t="s">
        <v>530</v>
      </c>
      <c r="B51" s="1075"/>
      <c r="C51" s="1042"/>
      <c r="D51" s="1042"/>
      <c r="E51" s="1042"/>
      <c r="F51" s="1042"/>
      <c r="G51" s="1042"/>
      <c r="H51" s="1042"/>
      <c r="I51" s="1042"/>
      <c r="J51" s="1042"/>
      <c r="K51" s="1042"/>
      <c r="L51" s="1042"/>
      <c r="M51" s="1042"/>
      <c r="N51" s="1042"/>
      <c r="O51" s="1042"/>
      <c r="P51" s="1042"/>
      <c r="Q51" s="1042"/>
      <c r="R51" s="1042"/>
    </row>
    <row r="52" spans="1:19" s="709" customFormat="1" x14ac:dyDescent="0.25">
      <c r="A52" s="1416" t="s">
        <v>531</v>
      </c>
      <c r="B52" s="1075"/>
      <c r="C52" s="1042"/>
      <c r="D52" s="1042"/>
      <c r="E52" s="1042"/>
      <c r="F52" s="1042"/>
      <c r="G52" s="1042"/>
      <c r="H52" s="1042"/>
      <c r="I52" s="1042"/>
      <c r="J52" s="1042"/>
      <c r="K52" s="1042"/>
      <c r="L52" s="1042"/>
      <c r="M52" s="1042"/>
      <c r="N52" s="1042"/>
      <c r="O52" s="1042"/>
      <c r="P52" s="1042"/>
      <c r="Q52" s="1042"/>
      <c r="R52" s="1042"/>
    </row>
    <row r="53" spans="1:19" s="709" customFormat="1" x14ac:dyDescent="0.25">
      <c r="A53" s="1262" t="s">
        <v>532</v>
      </c>
      <c r="B53" s="1075"/>
      <c r="C53" s="1042"/>
      <c r="D53" s="1042"/>
      <c r="E53" s="1042"/>
      <c r="F53" s="1042"/>
      <c r="G53" s="1042"/>
      <c r="H53" s="1042"/>
      <c r="I53" s="1042"/>
      <c r="J53" s="1042"/>
      <c r="K53" s="1042"/>
      <c r="L53" s="1042"/>
      <c r="M53" s="1042"/>
      <c r="N53" s="1042"/>
      <c r="O53" s="1042"/>
      <c r="P53" s="1042"/>
      <c r="Q53" s="1042"/>
      <c r="R53" s="1042"/>
    </row>
    <row r="54" spans="1:19" s="709" customFormat="1" x14ac:dyDescent="0.25">
      <c r="A54" s="1416" t="s">
        <v>533</v>
      </c>
      <c r="B54" s="1075"/>
      <c r="C54" s="1042"/>
      <c r="D54" s="1042"/>
      <c r="E54" s="1042"/>
      <c r="F54" s="1042"/>
      <c r="G54" s="1042"/>
      <c r="H54" s="1042"/>
      <c r="I54" s="1042"/>
      <c r="J54" s="1042"/>
      <c r="K54" s="1042"/>
      <c r="L54" s="1042"/>
      <c r="M54" s="1042"/>
      <c r="N54" s="1042"/>
      <c r="O54" s="1042"/>
      <c r="P54" s="1042"/>
      <c r="Q54" s="1042"/>
      <c r="R54" s="1042"/>
    </row>
    <row r="55" spans="1:19" s="709" customFormat="1" x14ac:dyDescent="0.25">
      <c r="A55" s="1194" t="s">
        <v>1596</v>
      </c>
      <c r="B55" s="1075"/>
      <c r="C55" s="1042"/>
      <c r="D55" s="1042"/>
      <c r="E55" s="1042"/>
      <c r="F55" s="1042"/>
      <c r="G55" s="1042"/>
      <c r="H55" s="1042"/>
      <c r="I55" s="1042"/>
      <c r="J55" s="1042"/>
      <c r="K55" s="1042"/>
      <c r="L55" s="1042"/>
      <c r="M55" s="1042"/>
      <c r="N55" s="1042"/>
      <c r="O55" s="1042"/>
      <c r="P55" s="1042"/>
      <c r="Q55" s="1042"/>
      <c r="R55" s="1042"/>
    </row>
    <row r="56" spans="1:19" s="709" customFormat="1" x14ac:dyDescent="0.25">
      <c r="A56" s="1194" t="s">
        <v>1598</v>
      </c>
      <c r="B56" s="1075"/>
      <c r="C56" s="1042"/>
      <c r="D56" s="1042"/>
      <c r="E56" s="1042"/>
      <c r="F56" s="1042"/>
      <c r="G56" s="1042"/>
      <c r="H56" s="1042"/>
      <c r="I56" s="1042"/>
      <c r="J56" s="1042"/>
      <c r="K56" s="1042"/>
      <c r="L56" s="1042"/>
      <c r="M56" s="1042"/>
      <c r="N56" s="1042"/>
      <c r="O56" s="1042"/>
      <c r="P56" s="1042"/>
      <c r="Q56" s="1042"/>
      <c r="R56" s="1042"/>
    </row>
    <row r="57" spans="1:19" ht="15.75" customHeight="1" x14ac:dyDescent="0.3">
      <c r="A57" s="2295"/>
      <c r="B57" s="2295"/>
      <c r="C57" s="935"/>
      <c r="D57" s="935"/>
      <c r="E57" s="935"/>
      <c r="F57" s="935"/>
      <c r="G57" s="935"/>
      <c r="H57" s="935"/>
      <c r="I57" s="935"/>
      <c r="J57" s="935"/>
      <c r="K57" s="935"/>
      <c r="L57" s="935"/>
      <c r="M57" s="935"/>
      <c r="N57" s="935"/>
      <c r="O57" s="935"/>
      <c r="P57" s="935"/>
      <c r="Q57" s="935"/>
      <c r="R57" s="935"/>
      <c r="S57" s="360"/>
    </row>
    <row r="58" spans="1:19" ht="38.25" customHeight="1" x14ac:dyDescent="0.25">
      <c r="A58" s="2296"/>
      <c r="B58" s="2297"/>
      <c r="C58" s="2298"/>
      <c r="D58" s="2298"/>
      <c r="E58" s="2298"/>
      <c r="F58" s="2298"/>
      <c r="G58" s="2298"/>
      <c r="H58" s="2298"/>
      <c r="I58" s="2298"/>
      <c r="J58" s="2298"/>
      <c r="K58" s="2298"/>
      <c r="L58" s="2298"/>
      <c r="M58" s="2298"/>
      <c r="N58" s="2298"/>
      <c r="O58" s="2298"/>
      <c r="P58" s="2298"/>
      <c r="Q58" s="2298"/>
      <c r="R58" s="2298"/>
      <c r="S58" s="360"/>
    </row>
    <row r="59" spans="1:19" ht="11.25" customHeight="1" x14ac:dyDescent="0.25">
      <c r="A59" s="2306"/>
      <c r="B59" s="2300"/>
      <c r="C59" s="238"/>
      <c r="D59" s="238"/>
      <c r="E59" s="238"/>
      <c r="F59" s="238"/>
      <c r="G59" s="238"/>
      <c r="H59" s="238"/>
      <c r="I59" s="238"/>
      <c r="J59" s="238"/>
      <c r="K59" s="238"/>
      <c r="L59" s="238"/>
      <c r="M59" s="238"/>
      <c r="N59" s="238"/>
      <c r="O59" s="238"/>
      <c r="P59" s="238"/>
      <c r="Q59" s="238"/>
      <c r="R59" s="238"/>
      <c r="S59" s="360"/>
    </row>
    <row r="60" spans="1:19" ht="11.25" customHeight="1" x14ac:dyDescent="0.25">
      <c r="A60" s="2306"/>
      <c r="B60" s="2300"/>
      <c r="C60" s="238"/>
      <c r="D60" s="238"/>
      <c r="E60" s="238"/>
      <c r="F60" s="238"/>
      <c r="G60" s="238"/>
      <c r="H60" s="238"/>
      <c r="I60" s="238"/>
      <c r="J60" s="238"/>
      <c r="K60" s="238"/>
      <c r="L60" s="238"/>
      <c r="M60" s="238"/>
      <c r="N60" s="238"/>
      <c r="O60" s="238"/>
      <c r="P60" s="238"/>
      <c r="Q60" s="238"/>
      <c r="R60" s="238"/>
      <c r="S60" s="360"/>
    </row>
    <row r="61" spans="1:19" ht="11.25" customHeight="1" x14ac:dyDescent="0.25">
      <c r="A61" s="2299"/>
      <c r="B61" s="2300"/>
      <c r="C61" s="2090"/>
      <c r="D61" s="2090"/>
      <c r="E61" s="2090"/>
      <c r="F61" s="2090"/>
      <c r="G61" s="2090"/>
      <c r="H61" s="2090"/>
      <c r="I61" s="2090"/>
      <c r="J61" s="2090"/>
      <c r="K61" s="2090"/>
      <c r="L61" s="2090"/>
      <c r="M61" s="2090"/>
      <c r="N61" s="2090"/>
      <c r="O61" s="2090"/>
      <c r="P61" s="2090"/>
      <c r="Q61" s="2090"/>
      <c r="R61" s="2090"/>
      <c r="S61" s="360"/>
    </row>
    <row r="62" spans="1:19" ht="11.25" customHeight="1" x14ac:dyDescent="0.25">
      <c r="A62" s="2299"/>
      <c r="B62" s="2300"/>
      <c r="C62" s="2090"/>
      <c r="D62" s="2090"/>
      <c r="E62" s="2090"/>
      <c r="F62" s="2090"/>
      <c r="G62" s="2090"/>
      <c r="H62" s="2090"/>
      <c r="I62" s="2090"/>
      <c r="J62" s="2090"/>
      <c r="K62" s="2090"/>
      <c r="L62" s="2090"/>
      <c r="M62" s="2090"/>
      <c r="N62" s="2090"/>
      <c r="O62" s="2090"/>
      <c r="P62" s="2090"/>
      <c r="Q62" s="2090"/>
      <c r="R62" s="2090"/>
      <c r="S62" s="360"/>
    </row>
    <row r="63" spans="1:19" ht="11.25" customHeight="1" x14ac:dyDescent="0.25">
      <c r="A63" s="2299"/>
      <c r="B63" s="2300"/>
      <c r="C63" s="2090"/>
      <c r="D63" s="2090"/>
      <c r="E63" s="2090"/>
      <c r="F63" s="2090"/>
      <c r="G63" s="2090"/>
      <c r="H63" s="2090"/>
      <c r="I63" s="2090"/>
      <c r="J63" s="2090"/>
      <c r="K63" s="2090"/>
      <c r="L63" s="2090"/>
      <c r="M63" s="2090"/>
      <c r="N63" s="2090"/>
      <c r="O63" s="2090"/>
      <c r="P63" s="2090"/>
      <c r="Q63" s="2090"/>
      <c r="R63" s="2090"/>
      <c r="S63" s="360"/>
    </row>
    <row r="64" spans="1:19" ht="11.25" customHeight="1" x14ac:dyDescent="0.25">
      <c r="A64" s="2299"/>
      <c r="B64" s="2300"/>
      <c r="C64" s="2090"/>
      <c r="D64" s="2090"/>
      <c r="E64" s="2090"/>
      <c r="F64" s="2090"/>
      <c r="G64" s="2090"/>
      <c r="H64" s="2090"/>
      <c r="I64" s="2090"/>
      <c r="J64" s="2090"/>
      <c r="K64" s="2090"/>
      <c r="L64" s="2090"/>
      <c r="M64" s="2090"/>
      <c r="N64" s="2090"/>
      <c r="O64" s="2090"/>
      <c r="P64" s="2090"/>
      <c r="Q64" s="2090"/>
      <c r="R64" s="2090"/>
      <c r="S64" s="360"/>
    </row>
    <row r="65" spans="1:19" ht="11.25" customHeight="1" x14ac:dyDescent="0.25">
      <c r="A65" s="2299"/>
      <c r="B65" s="2300"/>
      <c r="C65" s="2090"/>
      <c r="D65" s="2090"/>
      <c r="E65" s="2090"/>
      <c r="F65" s="2090"/>
      <c r="G65" s="2090"/>
      <c r="H65" s="2090"/>
      <c r="I65" s="2090"/>
      <c r="J65" s="2090"/>
      <c r="K65" s="2090"/>
      <c r="L65" s="2090"/>
      <c r="M65" s="2090"/>
      <c r="N65" s="2090"/>
      <c r="O65" s="2090"/>
      <c r="P65" s="2090"/>
      <c r="Q65" s="2090"/>
      <c r="R65" s="2090"/>
      <c r="S65" s="360"/>
    </row>
    <row r="66" spans="1:19" ht="11.25" customHeight="1" x14ac:dyDescent="0.25">
      <c r="A66" s="2299"/>
      <c r="B66" s="2300"/>
      <c r="C66" s="2090"/>
      <c r="D66" s="2090"/>
      <c r="E66" s="2090"/>
      <c r="F66" s="2090"/>
      <c r="G66" s="2090"/>
      <c r="H66" s="2090"/>
      <c r="I66" s="2090"/>
      <c r="J66" s="2090"/>
      <c r="K66" s="2090"/>
      <c r="L66" s="2090"/>
      <c r="M66" s="2090"/>
      <c r="N66" s="2090"/>
      <c r="O66" s="2090"/>
      <c r="P66" s="2090"/>
      <c r="Q66" s="2090"/>
      <c r="R66" s="2090"/>
      <c r="S66" s="360"/>
    </row>
    <row r="67" spans="1:19" ht="11.25" customHeight="1" x14ac:dyDescent="0.25">
      <c r="A67" s="2299"/>
      <c r="B67" s="2300"/>
      <c r="C67" s="2090"/>
      <c r="D67" s="2090"/>
      <c r="E67" s="2090"/>
      <c r="F67" s="2090"/>
      <c r="G67" s="2090"/>
      <c r="H67" s="2090"/>
      <c r="I67" s="2090"/>
      <c r="J67" s="2090"/>
      <c r="K67" s="2090"/>
      <c r="L67" s="2090"/>
      <c r="M67" s="2090"/>
      <c r="N67" s="2090"/>
      <c r="O67" s="2090"/>
      <c r="P67" s="2090"/>
      <c r="Q67" s="2090"/>
      <c r="R67" s="2090"/>
      <c r="S67" s="360"/>
    </row>
    <row r="68" spans="1:19" ht="11.25" customHeight="1" x14ac:dyDescent="0.25">
      <c r="A68" s="2299"/>
      <c r="B68" s="2300"/>
      <c r="C68" s="2090"/>
      <c r="D68" s="2090"/>
      <c r="E68" s="2090"/>
      <c r="F68" s="2090"/>
      <c r="G68" s="2090"/>
      <c r="H68" s="2090"/>
      <c r="I68" s="2090"/>
      <c r="J68" s="2090"/>
      <c r="K68" s="2090"/>
      <c r="L68" s="2090"/>
      <c r="M68" s="2090"/>
      <c r="N68" s="2090"/>
      <c r="O68" s="2090"/>
      <c r="P68" s="2090"/>
      <c r="Q68" s="2090"/>
      <c r="R68" s="2090"/>
      <c r="S68" s="360"/>
    </row>
    <row r="69" spans="1:19" ht="11.25" customHeight="1" x14ac:dyDescent="0.25">
      <c r="A69" s="2299"/>
      <c r="B69" s="2300"/>
      <c r="C69" s="2090"/>
      <c r="D69" s="2090"/>
      <c r="E69" s="2090"/>
      <c r="F69" s="2090"/>
      <c r="G69" s="2090"/>
      <c r="H69" s="2090"/>
      <c r="I69" s="2090"/>
      <c r="J69" s="2090"/>
      <c r="K69" s="2090"/>
      <c r="L69" s="2090"/>
      <c r="M69" s="2090"/>
      <c r="N69" s="2090"/>
      <c r="O69" s="2090"/>
      <c r="P69" s="2090"/>
      <c r="Q69" s="2090"/>
      <c r="R69" s="2090"/>
      <c r="S69" s="360"/>
    </row>
    <row r="70" spans="1:19" ht="11.25" customHeight="1" x14ac:dyDescent="0.25">
      <c r="A70" s="2299"/>
      <c r="B70" s="2300"/>
      <c r="C70" s="2090"/>
      <c r="D70" s="2090"/>
      <c r="E70" s="2090"/>
      <c r="F70" s="2090"/>
      <c r="G70" s="2090"/>
      <c r="H70" s="2090"/>
      <c r="I70" s="2090"/>
      <c r="J70" s="2090"/>
      <c r="K70" s="2090"/>
      <c r="L70" s="2090"/>
      <c r="M70" s="2090"/>
      <c r="N70" s="2090"/>
      <c r="O70" s="2090"/>
      <c r="P70" s="2090"/>
      <c r="Q70" s="2090"/>
      <c r="R70" s="2090"/>
      <c r="S70" s="360"/>
    </row>
    <row r="71" spans="1:19" ht="11.25" customHeight="1" x14ac:dyDescent="0.25">
      <c r="A71" s="2299"/>
      <c r="B71" s="2300"/>
      <c r="C71" s="2090"/>
      <c r="D71" s="2090"/>
      <c r="E71" s="2090"/>
      <c r="F71" s="2090"/>
      <c r="G71" s="2090"/>
      <c r="H71" s="2090"/>
      <c r="I71" s="2090"/>
      <c r="J71" s="2090"/>
      <c r="K71" s="2090"/>
      <c r="L71" s="2090"/>
      <c r="M71" s="2090"/>
      <c r="N71" s="2090"/>
      <c r="O71" s="2090"/>
      <c r="P71" s="2090"/>
      <c r="Q71" s="2090"/>
      <c r="R71" s="2090"/>
      <c r="S71" s="360"/>
    </row>
    <row r="72" spans="1:19" ht="11.25" customHeight="1" x14ac:dyDescent="0.25">
      <c r="A72" s="2299"/>
      <c r="B72" s="2300"/>
      <c r="C72" s="2307"/>
      <c r="D72" s="2307"/>
      <c r="E72" s="2307"/>
      <c r="F72" s="2307"/>
      <c r="G72" s="2307"/>
      <c r="H72" s="2307"/>
      <c r="I72" s="2308"/>
      <c r="J72" s="2307"/>
      <c r="K72" s="2307"/>
      <c r="L72" s="2307"/>
      <c r="M72" s="2307"/>
      <c r="N72" s="2307"/>
      <c r="O72" s="2307"/>
      <c r="P72" s="2307"/>
      <c r="Q72" s="2307"/>
      <c r="R72" s="2307"/>
      <c r="S72" s="360"/>
    </row>
    <row r="73" spans="1:19" ht="11.25" customHeight="1" x14ac:dyDescent="0.25">
      <c r="A73" s="2299"/>
      <c r="B73" s="2300"/>
      <c r="C73" s="2309"/>
      <c r="D73" s="2309"/>
      <c r="E73" s="2309"/>
      <c r="F73" s="2309"/>
      <c r="G73" s="2309"/>
      <c r="H73" s="2309"/>
      <c r="I73" s="2309"/>
      <c r="J73" s="2309"/>
      <c r="K73" s="2309"/>
      <c r="L73" s="2309"/>
      <c r="M73" s="2309"/>
      <c r="N73" s="2309"/>
      <c r="O73" s="2309"/>
      <c r="P73" s="2309"/>
      <c r="Q73" s="2309"/>
      <c r="R73" s="2309"/>
      <c r="S73" s="360"/>
    </row>
    <row r="74" spans="1:19" ht="11.25" customHeight="1" x14ac:dyDescent="0.25">
      <c r="A74" s="2299"/>
      <c r="B74" s="2300"/>
      <c r="C74" s="2310"/>
      <c r="D74" s="2310"/>
      <c r="E74" s="2310"/>
      <c r="F74" s="2310"/>
      <c r="G74" s="2310"/>
      <c r="H74" s="2310"/>
      <c r="I74" s="2310"/>
      <c r="J74" s="2310"/>
      <c r="K74" s="2310"/>
      <c r="L74" s="2310"/>
      <c r="M74" s="2310"/>
      <c r="N74" s="2310"/>
      <c r="O74" s="2310"/>
      <c r="P74" s="2310"/>
      <c r="Q74" s="2310"/>
      <c r="R74" s="2310"/>
      <c r="S74" s="360"/>
    </row>
    <row r="75" spans="1:19" ht="11.25" customHeight="1" x14ac:dyDescent="0.25">
      <c r="A75" s="2299"/>
      <c r="B75" s="2300"/>
      <c r="C75" s="2309"/>
      <c r="D75" s="2309"/>
      <c r="E75" s="2309"/>
      <c r="F75" s="2309"/>
      <c r="G75" s="2309"/>
      <c r="H75" s="2309"/>
      <c r="I75" s="2309"/>
      <c r="J75" s="2309"/>
      <c r="K75" s="2309"/>
      <c r="L75" s="2309"/>
      <c r="M75" s="2309"/>
      <c r="N75" s="2309"/>
      <c r="O75" s="2309"/>
      <c r="P75" s="2309"/>
      <c r="Q75" s="2309"/>
      <c r="R75" s="2309"/>
      <c r="S75" s="360"/>
    </row>
    <row r="76" spans="1:19" ht="11.25" customHeight="1" x14ac:dyDescent="0.25">
      <c r="A76" s="2299"/>
      <c r="B76" s="2300"/>
      <c r="C76" s="2309"/>
      <c r="D76" s="2309"/>
      <c r="E76" s="2309"/>
      <c r="F76" s="2309"/>
      <c r="G76" s="2309"/>
      <c r="H76" s="2309"/>
      <c r="I76" s="2309"/>
      <c r="J76" s="2309"/>
      <c r="K76" s="2309"/>
      <c r="L76" s="2309"/>
      <c r="M76" s="2309"/>
      <c r="N76" s="2309"/>
      <c r="O76" s="2309"/>
      <c r="P76" s="2309"/>
      <c r="Q76" s="2309"/>
      <c r="R76" s="2309"/>
      <c r="S76" s="360"/>
    </row>
    <row r="77" spans="1:19" ht="11.25" customHeight="1" x14ac:dyDescent="0.25">
      <c r="A77" s="2299"/>
      <c r="B77" s="2300"/>
      <c r="C77" s="2309"/>
      <c r="D77" s="2309"/>
      <c r="E77" s="2309"/>
      <c r="F77" s="2309"/>
      <c r="G77" s="2309"/>
      <c r="H77" s="2309"/>
      <c r="I77" s="2309"/>
      <c r="J77" s="2309"/>
      <c r="K77" s="2309"/>
      <c r="L77" s="2309"/>
      <c r="M77" s="2309"/>
      <c r="N77" s="2309"/>
      <c r="O77" s="2309"/>
      <c r="P77" s="2309"/>
      <c r="Q77" s="2309"/>
      <c r="R77" s="2309"/>
      <c r="S77" s="360"/>
    </row>
    <row r="78" spans="1:19" ht="11.25" customHeight="1" x14ac:dyDescent="0.25">
      <c r="A78" s="2299"/>
      <c r="B78" s="2303"/>
      <c r="C78" s="2309"/>
      <c r="D78" s="2309"/>
      <c r="E78" s="2309"/>
      <c r="F78" s="2309"/>
      <c r="G78" s="2309"/>
      <c r="H78" s="2309"/>
      <c r="I78" s="2309"/>
      <c r="J78" s="2309"/>
      <c r="K78" s="2309"/>
      <c r="L78" s="2309"/>
      <c r="M78" s="2309"/>
      <c r="N78" s="2309"/>
      <c r="O78" s="2309"/>
      <c r="P78" s="2309"/>
      <c r="Q78" s="2309"/>
      <c r="R78" s="2309"/>
      <c r="S78" s="360"/>
    </row>
    <row r="79" spans="1:19" ht="11.25" customHeight="1" x14ac:dyDescent="0.25">
      <c r="A79" s="2299"/>
      <c r="B79" s="2303"/>
      <c r="C79" s="2309"/>
      <c r="D79" s="2309"/>
      <c r="E79" s="2309"/>
      <c r="F79" s="2309"/>
      <c r="G79" s="2309"/>
      <c r="H79" s="2309"/>
      <c r="I79" s="2309"/>
      <c r="J79" s="2309"/>
      <c r="K79" s="2309"/>
      <c r="L79" s="2309"/>
      <c r="M79" s="2309"/>
      <c r="N79" s="2309"/>
      <c r="O79" s="2309"/>
      <c r="P79" s="2309"/>
      <c r="Q79" s="2309"/>
      <c r="R79" s="2309"/>
      <c r="S79" s="360"/>
    </row>
    <row r="80" spans="1:19" ht="11.25" customHeight="1" x14ac:dyDescent="0.25">
      <c r="A80" s="2299"/>
      <c r="B80" s="2303"/>
      <c r="C80" s="2309"/>
      <c r="D80" s="2309"/>
      <c r="E80" s="2309"/>
      <c r="F80" s="2309"/>
      <c r="G80" s="2309"/>
      <c r="H80" s="2309"/>
      <c r="I80" s="2309"/>
      <c r="J80" s="2309"/>
      <c r="K80" s="2309"/>
      <c r="L80" s="2309"/>
      <c r="M80" s="2309"/>
      <c r="N80" s="2309"/>
      <c r="O80" s="2309"/>
      <c r="P80" s="2309"/>
      <c r="Q80" s="2309"/>
      <c r="R80" s="2309"/>
      <c r="S80" s="360"/>
    </row>
    <row r="81" spans="1:19" ht="11.25" customHeight="1" x14ac:dyDescent="0.25">
      <c r="A81" s="2306"/>
      <c r="B81" s="2300"/>
      <c r="C81" s="603"/>
      <c r="D81" s="603"/>
      <c r="E81" s="603"/>
      <c r="F81" s="603"/>
      <c r="G81" s="603"/>
      <c r="H81" s="603"/>
      <c r="I81" s="603"/>
      <c r="J81" s="603"/>
      <c r="K81" s="603"/>
      <c r="L81" s="603"/>
      <c r="M81" s="603"/>
      <c r="N81" s="603"/>
      <c r="O81" s="603"/>
      <c r="P81" s="603"/>
      <c r="Q81" s="603"/>
      <c r="R81" s="603"/>
      <c r="S81" s="360"/>
    </row>
    <row r="82" spans="1:19" ht="11.25" customHeight="1" x14ac:dyDescent="0.25">
      <c r="A82" s="2299"/>
      <c r="B82" s="2300"/>
      <c r="C82" s="2311"/>
      <c r="D82" s="2311"/>
      <c r="E82" s="2311"/>
      <c r="F82" s="2311"/>
      <c r="G82" s="2311"/>
      <c r="H82" s="2311"/>
      <c r="I82" s="2311"/>
      <c r="J82" s="2311"/>
      <c r="K82" s="2311"/>
      <c r="L82" s="2311"/>
      <c r="M82" s="2311"/>
      <c r="N82" s="2311"/>
      <c r="O82" s="2311"/>
      <c r="P82" s="2311"/>
      <c r="Q82" s="2311"/>
      <c r="R82" s="2311"/>
      <c r="S82" s="360"/>
    </row>
    <row r="83" spans="1:19" ht="11.25" customHeight="1" x14ac:dyDescent="0.25">
      <c r="A83" s="2299"/>
      <c r="B83" s="2300"/>
      <c r="C83" s="2311"/>
      <c r="D83" s="2311"/>
      <c r="E83" s="2311"/>
      <c r="F83" s="2311"/>
      <c r="G83" s="2311"/>
      <c r="H83" s="2311"/>
      <c r="I83" s="2311"/>
      <c r="J83" s="2311"/>
      <c r="K83" s="2311"/>
      <c r="L83" s="2311"/>
      <c r="M83" s="2311"/>
      <c r="N83" s="2311"/>
      <c r="O83" s="2311"/>
      <c r="P83" s="2311"/>
      <c r="Q83" s="2311"/>
      <c r="R83" s="2311"/>
      <c r="S83" s="360"/>
    </row>
    <row r="84" spans="1:19" ht="11.25" customHeight="1" x14ac:dyDescent="0.25">
      <c r="A84" s="2299"/>
      <c r="B84" s="2300"/>
      <c r="C84" s="2311"/>
      <c r="D84" s="2311"/>
      <c r="E84" s="2311"/>
      <c r="F84" s="2311"/>
      <c r="G84" s="2311"/>
      <c r="H84" s="2311"/>
      <c r="I84" s="2311"/>
      <c r="J84" s="2311"/>
      <c r="K84" s="2311"/>
      <c r="L84" s="2311"/>
      <c r="M84" s="2311"/>
      <c r="N84" s="2311"/>
      <c r="O84" s="2311"/>
      <c r="P84" s="2311"/>
      <c r="Q84" s="2311"/>
      <c r="R84" s="2311"/>
      <c r="S84" s="360"/>
    </row>
    <row r="85" spans="1:19" ht="11.25" customHeight="1" x14ac:dyDescent="0.25">
      <c r="A85" s="2299"/>
      <c r="B85" s="2300"/>
      <c r="C85" s="2311"/>
      <c r="D85" s="2311"/>
      <c r="E85" s="2311"/>
      <c r="F85" s="2311"/>
      <c r="G85" s="2311"/>
      <c r="H85" s="2311"/>
      <c r="I85" s="2311"/>
      <c r="J85" s="2311"/>
      <c r="K85" s="2311"/>
      <c r="L85" s="2311"/>
      <c r="M85" s="2311"/>
      <c r="N85" s="2311"/>
      <c r="O85" s="2311"/>
      <c r="P85" s="2311"/>
      <c r="Q85" s="2311"/>
      <c r="R85" s="2311"/>
      <c r="S85" s="360"/>
    </row>
    <row r="86" spans="1:19" ht="11.25" customHeight="1" x14ac:dyDescent="0.25">
      <c r="A86" s="2299"/>
      <c r="B86" s="2300"/>
      <c r="C86" s="2311"/>
      <c r="D86" s="2311"/>
      <c r="E86" s="2311"/>
      <c r="F86" s="2311"/>
      <c r="G86" s="2311"/>
      <c r="H86" s="2311"/>
      <c r="I86" s="2311"/>
      <c r="J86" s="2311"/>
      <c r="K86" s="2311"/>
      <c r="L86" s="2311"/>
      <c r="M86" s="2311"/>
      <c r="N86" s="2311"/>
      <c r="O86" s="2311"/>
      <c r="P86" s="2311"/>
      <c r="Q86" s="2311"/>
      <c r="R86" s="2311"/>
      <c r="S86" s="360"/>
    </row>
    <row r="87" spans="1:19" ht="11.25" customHeight="1" x14ac:dyDescent="0.25">
      <c r="A87" s="2299"/>
      <c r="B87" s="2303"/>
      <c r="C87" s="2311"/>
      <c r="D87" s="2311"/>
      <c r="E87" s="2311"/>
      <c r="F87" s="2311"/>
      <c r="G87" s="2311"/>
      <c r="H87" s="2311"/>
      <c r="I87" s="2311"/>
      <c r="J87" s="2311"/>
      <c r="K87" s="2311"/>
      <c r="L87" s="2311"/>
      <c r="M87" s="2311"/>
      <c r="N87" s="2311"/>
      <c r="O87" s="2311"/>
      <c r="P87" s="2311"/>
      <c r="Q87" s="2311"/>
      <c r="R87" s="2311"/>
      <c r="S87" s="360"/>
    </row>
    <row r="88" spans="1:19" ht="11.25" customHeight="1" x14ac:dyDescent="0.25">
      <c r="A88" s="2304"/>
      <c r="B88" s="2300"/>
      <c r="C88" s="2301"/>
      <c r="D88" s="2301"/>
      <c r="E88" s="2301"/>
      <c r="F88" s="2301"/>
      <c r="G88" s="2301"/>
      <c r="H88" s="2301"/>
      <c r="I88" s="2301"/>
      <c r="J88" s="2301"/>
      <c r="K88" s="2301"/>
      <c r="L88" s="2301"/>
      <c r="M88" s="2301"/>
      <c r="N88" s="2301"/>
      <c r="O88" s="2301"/>
      <c r="P88" s="2301"/>
      <c r="Q88" s="2301"/>
      <c r="R88" s="2301"/>
      <c r="S88" s="360"/>
    </row>
    <row r="89" spans="1:19" ht="11.25" customHeight="1" x14ac:dyDescent="0.25">
      <c r="A89" s="2299"/>
      <c r="B89" s="2300"/>
      <c r="C89" s="2312"/>
      <c r="D89" s="2312"/>
      <c r="E89" s="2312"/>
      <c r="F89" s="2312"/>
      <c r="G89" s="2312"/>
      <c r="H89" s="2312"/>
      <c r="I89" s="2312"/>
      <c r="J89" s="2312"/>
      <c r="K89" s="2312"/>
      <c r="L89" s="2312"/>
      <c r="M89" s="2312"/>
      <c r="N89" s="2312"/>
      <c r="O89" s="2312"/>
      <c r="P89" s="2312"/>
      <c r="Q89" s="2312"/>
      <c r="R89" s="2312"/>
      <c r="S89" s="360"/>
    </row>
    <row r="90" spans="1:19" ht="11.25" customHeight="1" x14ac:dyDescent="0.25">
      <c r="A90" s="2299"/>
      <c r="B90" s="2300"/>
      <c r="C90" s="2312"/>
      <c r="D90" s="2312"/>
      <c r="E90" s="2312"/>
      <c r="F90" s="2312"/>
      <c r="G90" s="2312"/>
      <c r="H90" s="2312"/>
      <c r="I90" s="2312"/>
      <c r="J90" s="2312"/>
      <c r="K90" s="2312"/>
      <c r="L90" s="2312"/>
      <c r="M90" s="2312"/>
      <c r="N90" s="2312"/>
      <c r="O90" s="2312"/>
      <c r="P90" s="2312"/>
      <c r="Q90" s="2312"/>
      <c r="R90" s="2312"/>
      <c r="S90" s="360"/>
    </row>
    <row r="91" spans="1:19" ht="11.25" customHeight="1" x14ac:dyDescent="0.25">
      <c r="A91" s="2299"/>
      <c r="B91" s="2300"/>
      <c r="C91" s="2312"/>
      <c r="D91" s="2312"/>
      <c r="E91" s="2312"/>
      <c r="F91" s="2312"/>
      <c r="G91" s="2312"/>
      <c r="H91" s="2312"/>
      <c r="I91" s="2312"/>
      <c r="J91" s="2312"/>
      <c r="K91" s="2312"/>
      <c r="L91" s="2312"/>
      <c r="M91" s="2312"/>
      <c r="N91" s="2312"/>
      <c r="O91" s="2312"/>
      <c r="P91" s="2312"/>
      <c r="Q91" s="2312"/>
      <c r="R91" s="2312"/>
      <c r="S91" s="360"/>
    </row>
    <row r="92" spans="1:19" ht="11.25" customHeight="1" x14ac:dyDescent="0.25">
      <c r="A92" s="2299"/>
      <c r="B92" s="2313"/>
      <c r="C92" s="2314"/>
      <c r="D92" s="2314"/>
      <c r="E92" s="2314"/>
      <c r="F92" s="2314"/>
      <c r="G92" s="2314"/>
      <c r="H92" s="2314"/>
      <c r="I92" s="2314"/>
      <c r="J92" s="2314"/>
      <c r="K92" s="2314"/>
      <c r="L92" s="2314"/>
      <c r="M92" s="2314"/>
      <c r="N92" s="2314"/>
      <c r="O92" s="2314"/>
      <c r="P92" s="2314"/>
      <c r="Q92" s="2314"/>
      <c r="R92" s="2314"/>
      <c r="S92" s="360"/>
    </row>
    <row r="93" spans="1:19" ht="11.25" customHeight="1" x14ac:dyDescent="0.25">
      <c r="A93" s="2306"/>
      <c r="B93" s="2313"/>
      <c r="C93" s="2302"/>
      <c r="D93" s="2302"/>
      <c r="E93" s="2302"/>
      <c r="F93" s="2302"/>
      <c r="G93" s="2302"/>
      <c r="H93" s="2302"/>
      <c r="I93" s="2302"/>
      <c r="J93" s="2302"/>
      <c r="K93" s="2302"/>
      <c r="L93" s="2302"/>
      <c r="M93" s="2302"/>
      <c r="N93" s="2302"/>
      <c r="O93" s="2302"/>
      <c r="P93" s="2302"/>
      <c r="Q93" s="2302"/>
      <c r="R93" s="2302"/>
      <c r="S93" s="360"/>
    </row>
    <row r="94" spans="1:19" ht="11.25" customHeight="1" x14ac:dyDescent="0.25">
      <c r="A94" s="2299"/>
      <c r="B94" s="2303"/>
      <c r="C94" s="2315"/>
      <c r="D94" s="2315"/>
      <c r="E94" s="2315"/>
      <c r="F94" s="2315"/>
      <c r="G94" s="2315"/>
      <c r="H94" s="2315"/>
      <c r="I94" s="2315"/>
      <c r="J94" s="2315"/>
      <c r="K94" s="2315"/>
      <c r="L94" s="2315"/>
      <c r="M94" s="2315"/>
      <c r="N94" s="2315"/>
      <c r="O94" s="2315"/>
      <c r="P94" s="2315"/>
      <c r="Q94" s="2315"/>
      <c r="R94" s="2315"/>
      <c r="S94" s="360"/>
    </row>
    <row r="95" spans="1:19" ht="11.25" customHeight="1" x14ac:dyDescent="0.25">
      <c r="A95" s="2299"/>
      <c r="B95" s="2303"/>
      <c r="C95" s="1332"/>
      <c r="D95" s="1332"/>
      <c r="E95" s="1332"/>
      <c r="F95" s="1332"/>
      <c r="G95" s="1332"/>
      <c r="H95" s="1332"/>
      <c r="I95" s="1332"/>
      <c r="J95" s="1332"/>
      <c r="K95" s="1332"/>
      <c r="L95" s="1332"/>
      <c r="M95" s="1332"/>
      <c r="N95" s="1332"/>
      <c r="O95" s="1332"/>
      <c r="P95" s="1332"/>
      <c r="Q95" s="1332"/>
      <c r="R95" s="1332"/>
      <c r="S95" s="360"/>
    </row>
    <row r="96" spans="1:19" ht="11.25" customHeight="1" x14ac:dyDescent="0.25">
      <c r="A96" s="2299"/>
      <c r="B96" s="2303"/>
      <c r="C96" s="1332"/>
      <c r="D96" s="1332"/>
      <c r="E96" s="1332"/>
      <c r="F96" s="1332"/>
      <c r="G96" s="1332"/>
      <c r="H96" s="1332"/>
      <c r="I96" s="1332"/>
      <c r="J96" s="1332"/>
      <c r="K96" s="1332"/>
      <c r="L96" s="1332"/>
      <c r="M96" s="1332"/>
      <c r="N96" s="1332"/>
      <c r="O96" s="1332"/>
      <c r="P96" s="1332"/>
      <c r="Q96" s="1332"/>
      <c r="R96" s="1332"/>
      <c r="S96" s="360"/>
    </row>
    <row r="97" spans="1:19" ht="11.25" customHeight="1" x14ac:dyDescent="0.25">
      <c r="A97" s="2299"/>
      <c r="B97" s="2303"/>
      <c r="C97" s="2316"/>
      <c r="D97" s="2316"/>
      <c r="E97" s="2316"/>
      <c r="F97" s="2316"/>
      <c r="G97" s="2316"/>
      <c r="H97" s="2316"/>
      <c r="I97" s="2316"/>
      <c r="J97" s="2316"/>
      <c r="K97" s="2316"/>
      <c r="L97" s="2316"/>
      <c r="M97" s="2316"/>
      <c r="N97" s="2316"/>
      <c r="O97" s="2316"/>
      <c r="P97" s="2316"/>
      <c r="Q97" s="2316"/>
      <c r="R97" s="2316"/>
      <c r="S97" s="360"/>
    </row>
    <row r="98" spans="1:19" ht="11.25" customHeight="1" x14ac:dyDescent="0.25">
      <c r="A98" s="2299"/>
      <c r="B98" s="2303"/>
      <c r="C98" s="2317"/>
      <c r="D98" s="2317"/>
      <c r="E98" s="2317"/>
      <c r="F98" s="2317"/>
      <c r="G98" s="2317"/>
      <c r="H98" s="2317"/>
      <c r="I98" s="2317"/>
      <c r="J98" s="2317"/>
      <c r="K98" s="2317"/>
      <c r="L98" s="2317"/>
      <c r="M98" s="2317"/>
      <c r="N98" s="2317"/>
      <c r="O98" s="2317"/>
      <c r="P98" s="2317"/>
      <c r="Q98" s="2317"/>
      <c r="R98" s="2317"/>
      <c r="S98" s="360"/>
    </row>
    <row r="99" spans="1:19" ht="11.25" customHeight="1" x14ac:dyDescent="0.25">
      <c r="A99" s="2299"/>
      <c r="B99" s="2303"/>
      <c r="C99" s="2317"/>
      <c r="D99" s="2317"/>
      <c r="E99" s="2317"/>
      <c r="F99" s="2317"/>
      <c r="G99" s="2317"/>
      <c r="H99" s="2317"/>
      <c r="I99" s="2317"/>
      <c r="J99" s="2317"/>
      <c r="K99" s="2317"/>
      <c r="L99" s="2317"/>
      <c r="M99" s="2317"/>
      <c r="N99" s="2317"/>
      <c r="O99" s="2317"/>
      <c r="P99" s="2317"/>
      <c r="Q99" s="2317"/>
      <c r="R99" s="2317"/>
      <c r="S99" s="360"/>
    </row>
    <row r="100" spans="1:19" ht="11.25" customHeight="1" x14ac:dyDescent="0.25">
      <c r="A100" s="2299"/>
      <c r="B100" s="2303"/>
      <c r="C100" s="2317"/>
      <c r="D100" s="2317"/>
      <c r="E100" s="2317"/>
      <c r="F100" s="2317"/>
      <c r="G100" s="2317"/>
      <c r="H100" s="2317"/>
      <c r="I100" s="2317"/>
      <c r="J100" s="2317"/>
      <c r="K100" s="2317"/>
      <c r="L100" s="2317"/>
      <c r="M100" s="2317"/>
      <c r="N100" s="2317"/>
      <c r="O100" s="2317"/>
      <c r="P100" s="2317"/>
      <c r="Q100" s="2317"/>
      <c r="R100" s="2317"/>
      <c r="S100" s="360"/>
    </row>
    <row r="101" spans="1:19" ht="11.25" customHeight="1" x14ac:dyDescent="0.25">
      <c r="A101" s="2299"/>
      <c r="B101" s="2303"/>
      <c r="C101" s="2317"/>
      <c r="D101" s="2317"/>
      <c r="E101" s="2317"/>
      <c r="F101" s="2317"/>
      <c r="G101" s="2317"/>
      <c r="H101" s="2317"/>
      <c r="I101" s="2317"/>
      <c r="J101" s="2317"/>
      <c r="K101" s="2317"/>
      <c r="L101" s="2317"/>
      <c r="M101" s="2317"/>
      <c r="N101" s="2317"/>
      <c r="O101" s="2317"/>
      <c r="P101" s="2317"/>
      <c r="Q101" s="2317"/>
      <c r="R101" s="2317"/>
      <c r="S101" s="360"/>
    </row>
    <row r="102" spans="1:19" ht="11.25" customHeight="1" x14ac:dyDescent="0.25">
      <c r="A102" s="2299"/>
      <c r="B102" s="2303"/>
      <c r="C102" s="2317"/>
      <c r="D102" s="2317"/>
      <c r="E102" s="2317"/>
      <c r="F102" s="2317"/>
      <c r="G102" s="2317"/>
      <c r="H102" s="2317"/>
      <c r="I102" s="2317"/>
      <c r="J102" s="2317"/>
      <c r="K102" s="2317"/>
      <c r="L102" s="2317"/>
      <c r="M102" s="2317"/>
      <c r="N102" s="2317"/>
      <c r="O102" s="2317"/>
      <c r="P102" s="2317"/>
      <c r="Q102" s="2317"/>
      <c r="R102" s="2317"/>
      <c r="S102" s="360"/>
    </row>
    <row r="103" spans="1:19" ht="11.25" customHeight="1" x14ac:dyDescent="0.25">
      <c r="A103" s="2299"/>
      <c r="B103" s="2303"/>
      <c r="C103" s="2317"/>
      <c r="D103" s="2317"/>
      <c r="E103" s="2317"/>
      <c r="F103" s="2317"/>
      <c r="G103" s="2317"/>
      <c r="H103" s="2317"/>
      <c r="I103" s="2317"/>
      <c r="J103" s="2317"/>
      <c r="K103" s="2317"/>
      <c r="L103" s="2317"/>
      <c r="M103" s="2317"/>
      <c r="N103" s="2317"/>
      <c r="O103" s="2317"/>
      <c r="P103" s="2317"/>
      <c r="Q103" s="2317"/>
      <c r="R103" s="2317"/>
      <c r="S103" s="360"/>
    </row>
    <row r="104" spans="1:19" ht="11.25" customHeight="1" x14ac:dyDescent="0.25">
      <c r="A104" s="2304"/>
      <c r="B104" s="2303"/>
      <c r="C104" s="261"/>
      <c r="D104" s="261"/>
      <c r="E104" s="261"/>
      <c r="F104" s="261"/>
      <c r="G104" s="261"/>
      <c r="H104" s="261"/>
      <c r="I104" s="261"/>
      <c r="J104" s="261"/>
      <c r="K104" s="261"/>
      <c r="L104" s="261"/>
      <c r="M104" s="261"/>
      <c r="N104" s="261"/>
      <c r="O104" s="261"/>
      <c r="P104" s="261"/>
      <c r="Q104" s="261"/>
      <c r="R104" s="261"/>
      <c r="S104" s="360"/>
    </row>
    <row r="105" spans="1:19" ht="5.15" customHeight="1" x14ac:dyDescent="0.25">
      <c r="A105" s="2305"/>
      <c r="B105" s="2300"/>
      <c r="C105" s="363"/>
      <c r="D105" s="363"/>
      <c r="E105" s="363"/>
      <c r="F105" s="363"/>
      <c r="G105" s="363"/>
      <c r="H105" s="363"/>
      <c r="I105" s="363"/>
      <c r="J105" s="363"/>
      <c r="K105" s="363"/>
      <c r="L105" s="363"/>
      <c r="M105" s="363"/>
      <c r="N105" s="363"/>
      <c r="O105" s="363"/>
      <c r="P105" s="363"/>
      <c r="Q105" s="363"/>
      <c r="R105" s="363"/>
      <c r="S105" s="360"/>
    </row>
    <row r="106" spans="1:19" s="709" customFormat="1" x14ac:dyDescent="0.25">
      <c r="A106" s="2318"/>
      <c r="B106" s="2309"/>
      <c r="C106" s="1040"/>
      <c r="D106" s="1040"/>
      <c r="E106" s="1040"/>
      <c r="F106" s="1040"/>
      <c r="G106" s="1040"/>
      <c r="H106" s="1040"/>
      <c r="I106" s="1040"/>
      <c r="J106" s="1040"/>
      <c r="K106" s="1040"/>
      <c r="L106" s="1040"/>
      <c r="M106" s="1040"/>
      <c r="N106" s="1040"/>
      <c r="O106" s="1040"/>
      <c r="P106" s="1040"/>
      <c r="Q106" s="1040"/>
      <c r="R106" s="1040"/>
      <c r="S106" s="1062"/>
    </row>
    <row r="107" spans="1:19" s="709" customFormat="1" x14ac:dyDescent="0.25">
      <c r="A107" s="2319"/>
      <c r="B107" s="2309"/>
      <c r="C107" s="1040"/>
      <c r="D107" s="1040"/>
      <c r="E107" s="1040"/>
      <c r="F107" s="1040"/>
      <c r="G107" s="1040"/>
      <c r="H107" s="1040"/>
      <c r="I107" s="1040"/>
      <c r="J107" s="1040"/>
      <c r="K107" s="1040"/>
      <c r="L107" s="1040"/>
      <c r="M107" s="1040"/>
      <c r="N107" s="1040"/>
      <c r="O107" s="1040"/>
      <c r="P107" s="1040"/>
      <c r="Q107" s="1040"/>
      <c r="R107" s="1040"/>
      <c r="S107" s="1062"/>
    </row>
    <row r="108" spans="1:19" s="709" customFormat="1" x14ac:dyDescent="0.25">
      <c r="A108" s="2319"/>
      <c r="B108" s="2309"/>
      <c r="C108" s="1040"/>
      <c r="D108" s="1040"/>
      <c r="E108" s="1040"/>
      <c r="F108" s="1040"/>
      <c r="G108" s="1040"/>
      <c r="H108" s="1040"/>
      <c r="I108" s="1040"/>
      <c r="J108" s="1040"/>
      <c r="K108" s="1040"/>
      <c r="L108" s="1040"/>
      <c r="M108" s="1040"/>
      <c r="N108" s="1040"/>
      <c r="O108" s="1040"/>
      <c r="P108" s="1040"/>
      <c r="Q108" s="1040"/>
      <c r="R108" s="1040"/>
      <c r="S108" s="1062"/>
    </row>
    <row r="109" spans="1:19" s="709" customFormat="1" x14ac:dyDescent="0.25">
      <c r="A109" s="1515"/>
      <c r="B109" s="2309"/>
      <c r="C109" s="1040"/>
      <c r="D109" s="1040"/>
      <c r="E109" s="1040"/>
      <c r="F109" s="1040"/>
      <c r="G109" s="1040"/>
      <c r="H109" s="1040"/>
      <c r="I109" s="1040"/>
      <c r="J109" s="1040"/>
      <c r="K109" s="1040"/>
      <c r="L109" s="1040"/>
      <c r="M109" s="1040"/>
      <c r="N109" s="1040"/>
      <c r="O109" s="1040"/>
      <c r="P109" s="1040"/>
      <c r="Q109" s="1040"/>
      <c r="R109" s="1040"/>
      <c r="S109" s="1062"/>
    </row>
    <row r="110" spans="1:19" s="709" customFormat="1" x14ac:dyDescent="0.25">
      <c r="A110" s="2319"/>
      <c r="B110" s="2309"/>
      <c r="C110" s="1040"/>
      <c r="D110" s="1040"/>
      <c r="E110" s="1040"/>
      <c r="F110" s="1040"/>
      <c r="G110" s="1040"/>
      <c r="H110" s="1040"/>
      <c r="I110" s="1040"/>
      <c r="J110" s="1040"/>
      <c r="K110" s="1040"/>
      <c r="L110" s="1040"/>
      <c r="M110" s="1040"/>
      <c r="N110" s="1040"/>
      <c r="O110" s="1040"/>
      <c r="P110" s="1040"/>
      <c r="Q110" s="1040"/>
      <c r="R110" s="1040"/>
      <c r="S110" s="1062"/>
    </row>
    <row r="111" spans="1:19" x14ac:dyDescent="0.25">
      <c r="A111" s="1158"/>
      <c r="B111" s="2300"/>
      <c r="C111" s="237"/>
      <c r="D111" s="237"/>
      <c r="E111" s="237"/>
      <c r="F111" s="237"/>
      <c r="G111" s="238"/>
      <c r="H111" s="238"/>
      <c r="I111" s="238"/>
      <c r="J111" s="238"/>
      <c r="K111" s="238"/>
      <c r="L111" s="238"/>
      <c r="M111" s="238"/>
      <c r="N111" s="238"/>
      <c r="O111" s="238"/>
      <c r="P111" s="238"/>
      <c r="Q111" s="238"/>
      <c r="R111" s="238"/>
      <c r="S111" s="360"/>
    </row>
    <row r="112" spans="1:19" x14ac:dyDescent="0.25">
      <c r="A112" s="1158"/>
      <c r="B112" s="2300"/>
      <c r="C112" s="237"/>
      <c r="D112" s="237"/>
      <c r="E112" s="237"/>
      <c r="F112" s="237"/>
      <c r="G112" s="238"/>
      <c r="H112" s="238"/>
      <c r="I112" s="238"/>
      <c r="J112" s="238"/>
      <c r="K112" s="238"/>
      <c r="L112" s="238"/>
      <c r="M112" s="238"/>
      <c r="N112" s="238"/>
      <c r="O112" s="238"/>
      <c r="P112" s="238"/>
      <c r="Q112" s="238"/>
      <c r="R112" s="238"/>
      <c r="S112" s="360"/>
    </row>
    <row r="113" spans="1:19" ht="11.25" customHeight="1" x14ac:dyDescent="0.25">
      <c r="A113" s="360"/>
      <c r="B113" s="2300"/>
      <c r="C113" s="360"/>
      <c r="D113" s="360"/>
      <c r="E113" s="360"/>
      <c r="F113" s="360"/>
      <c r="G113" s="360"/>
      <c r="H113" s="360"/>
      <c r="I113" s="360"/>
      <c r="J113" s="360"/>
      <c r="K113" s="360"/>
      <c r="L113" s="360"/>
      <c r="M113" s="360"/>
      <c r="N113" s="360"/>
      <c r="O113" s="360"/>
      <c r="P113" s="360"/>
      <c r="Q113" s="360"/>
      <c r="R113" s="360"/>
      <c r="S113" s="360"/>
    </row>
    <row r="114" spans="1:19" ht="11.25" customHeight="1" x14ac:dyDescent="0.25">
      <c r="A114" s="360"/>
      <c r="B114" s="2305"/>
      <c r="C114" s="360"/>
      <c r="D114" s="360"/>
      <c r="E114" s="360"/>
      <c r="F114" s="360"/>
      <c r="G114" s="360"/>
      <c r="H114" s="360"/>
      <c r="I114" s="360"/>
      <c r="J114" s="360"/>
      <c r="K114" s="360"/>
      <c r="L114" s="360"/>
      <c r="M114" s="360"/>
      <c r="N114" s="360"/>
      <c r="O114" s="360"/>
      <c r="P114" s="360"/>
      <c r="Q114" s="360"/>
      <c r="R114" s="360"/>
      <c r="S114" s="360"/>
    </row>
    <row r="115" spans="1:19" ht="11.25" customHeight="1" x14ac:dyDescent="0.25">
      <c r="A115" s="246"/>
      <c r="B115" s="653"/>
      <c r="C115" s="246"/>
      <c r="D115" s="246"/>
      <c r="E115" s="246"/>
      <c r="F115" s="246"/>
      <c r="G115" s="246"/>
      <c r="H115" s="246"/>
      <c r="I115" s="246"/>
    </row>
    <row r="116" spans="1:19" ht="11.25" customHeight="1" x14ac:dyDescent="0.25">
      <c r="A116" s="246"/>
      <c r="B116" s="653"/>
      <c r="C116" s="246"/>
      <c r="D116" s="246"/>
      <c r="E116" s="246"/>
      <c r="F116" s="246"/>
      <c r="G116" s="246"/>
      <c r="H116" s="246"/>
      <c r="I116" s="246"/>
    </row>
    <row r="117" spans="1:19" ht="11.25" customHeight="1" x14ac:dyDescent="0.25">
      <c r="A117" s="246"/>
      <c r="B117" s="652"/>
      <c r="C117" s="246"/>
      <c r="D117" s="246"/>
      <c r="E117" s="246"/>
      <c r="F117" s="246"/>
      <c r="G117" s="246"/>
      <c r="H117" s="246"/>
      <c r="I117" s="246"/>
    </row>
    <row r="118" spans="1:19" ht="11.25" customHeight="1" x14ac:dyDescent="0.25"/>
    <row r="119" spans="1:19" ht="11.25" customHeight="1" x14ac:dyDescent="0.25"/>
    <row r="120" spans="1:19" ht="11.25" customHeight="1" x14ac:dyDescent="0.25"/>
    <row r="121" spans="1:19" ht="11.25" customHeight="1" x14ac:dyDescent="0.25"/>
    <row r="122" spans="1:19" ht="11.25" customHeight="1" x14ac:dyDescent="0.25"/>
    <row r="123" spans="1:19" ht="11.25" customHeight="1" x14ac:dyDescent="0.25"/>
    <row r="124" spans="1:19" ht="11.25" customHeight="1" x14ac:dyDescent="0.25"/>
    <row r="125" spans="1:19" ht="11.25" customHeight="1" x14ac:dyDescent="0.25"/>
    <row r="126" spans="1:19" ht="11.25" customHeight="1" x14ac:dyDescent="0.25"/>
    <row r="127" spans="1:19" ht="11.25" customHeight="1" x14ac:dyDescent="0.25"/>
    <row r="128" spans="1: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dataValidations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2"/>
  </sheetPr>
  <dimension ref="A1:S167"/>
  <sheetViews>
    <sheetView showGridLines="0" topLeftCell="A67" zoomScaleNormal="100" workbookViewId="0">
      <selection activeCell="F69" sqref="F69"/>
    </sheetView>
  </sheetViews>
  <sheetFormatPr defaultColWidth="9.1796875" defaultRowHeight="10.5" x14ac:dyDescent="0.25"/>
  <cols>
    <col min="1" max="1" width="31.453125" style="360" customWidth="1"/>
    <col min="2" max="2" width="3.7265625" style="2300" customWidth="1"/>
    <col min="3" max="3" width="17.7265625" style="360" customWidth="1"/>
    <col min="4" max="10" width="9.26953125" style="360" customWidth="1"/>
    <col min="11" max="18" width="8.1796875" style="360" customWidth="1"/>
    <col min="19" max="19" width="9.81640625" style="360" customWidth="1"/>
    <col min="20" max="20" width="9.54296875" style="360" customWidth="1"/>
    <col min="21" max="21" width="9.81640625" style="360" customWidth="1"/>
    <col min="22" max="24" width="9.54296875" style="360" customWidth="1"/>
    <col min="25" max="25" width="9.81640625" style="360" customWidth="1"/>
    <col min="26" max="28" width="9.54296875" style="360" customWidth="1"/>
    <col min="29" max="30" width="9.81640625" style="360" customWidth="1"/>
    <col min="31" max="16384" width="9.1796875" style="360"/>
  </cols>
  <sheetData>
    <row r="1" spans="1:18" ht="13" x14ac:dyDescent="0.3">
      <c r="A1" s="2529" t="str">
        <f>muni&amp;" - "&amp;TableA13a</f>
        <v>KZN225 Msunduzi - Supporting Table SA13a Service Tariffs by category</v>
      </c>
      <c r="B1" s="1121"/>
      <c r="C1" s="1121"/>
      <c r="D1" s="1121"/>
      <c r="E1" s="1121"/>
      <c r="F1" s="1121"/>
      <c r="G1" s="1121"/>
      <c r="H1" s="1121"/>
      <c r="I1" s="1121"/>
      <c r="J1" s="1121"/>
      <c r="K1" s="935"/>
      <c r="L1" s="935"/>
      <c r="M1" s="935"/>
      <c r="N1" s="935"/>
      <c r="O1" s="935"/>
      <c r="P1" s="935"/>
      <c r="Q1" s="935"/>
      <c r="R1" s="935"/>
    </row>
    <row r="2" spans="1:18" ht="25" customHeight="1" x14ac:dyDescent="0.25">
      <c r="A2" s="2731" t="str">
        <f>desc</f>
        <v>Description</v>
      </c>
      <c r="B2" s="2699" t="str">
        <f>head27</f>
        <v>Ref</v>
      </c>
      <c r="C2" s="2734" t="s">
        <v>2096</v>
      </c>
      <c r="D2" s="2734" t="str">
        <f>head1b</f>
        <v>2009/10</v>
      </c>
      <c r="E2" s="2734" t="str">
        <f>head1A</f>
        <v>2010/11</v>
      </c>
      <c r="F2" s="2736" t="str">
        <f>Head1</f>
        <v>2011/12</v>
      </c>
      <c r="G2" s="2729" t="str">
        <f>Head2</f>
        <v>Current Year 2012/13</v>
      </c>
      <c r="H2" s="2530" t="str">
        <f>Head3</f>
        <v>2013/14 Medium Term Revenue &amp; Expenditure Framework</v>
      </c>
      <c r="I2" s="2531"/>
      <c r="J2" s="2532"/>
      <c r="K2" s="2298"/>
      <c r="L2" s="2298"/>
      <c r="M2" s="2298"/>
      <c r="N2" s="2298"/>
      <c r="O2" s="2298"/>
      <c r="P2" s="2298"/>
      <c r="Q2" s="2298"/>
      <c r="R2" s="2298"/>
    </row>
    <row r="3" spans="1:18" ht="25" customHeight="1" x14ac:dyDescent="0.25">
      <c r="A3" s="2732"/>
      <c r="B3" s="2733"/>
      <c r="C3" s="2735"/>
      <c r="D3" s="2735"/>
      <c r="E3" s="2735"/>
      <c r="F3" s="2737"/>
      <c r="G3" s="2730"/>
      <c r="H3" s="2388" t="str">
        <f>Head9</f>
        <v>Budget Year 2013/14</v>
      </c>
      <c r="I3" s="2533" t="str">
        <f>Head10</f>
        <v>Budget Year +1 2014/15</v>
      </c>
      <c r="J3" s="2387" t="str">
        <f>Head11</f>
        <v>Budget Year +2 2015/16</v>
      </c>
      <c r="K3" s="238"/>
      <c r="L3" s="238"/>
      <c r="M3" s="238"/>
      <c r="N3" s="238"/>
      <c r="O3" s="238"/>
      <c r="P3" s="238"/>
      <c r="Q3" s="238"/>
      <c r="R3" s="238"/>
    </row>
    <row r="4" spans="1:18" ht="12.75" customHeight="1" x14ac:dyDescent="0.25">
      <c r="A4" s="2534" t="s">
        <v>2097</v>
      </c>
      <c r="B4" s="2535">
        <v>1</v>
      </c>
      <c r="C4" s="2535"/>
      <c r="D4" s="2536"/>
      <c r="E4" s="2536"/>
      <c r="F4" s="2537"/>
      <c r="G4" s="2538"/>
      <c r="H4" s="2538"/>
      <c r="I4" s="2536"/>
      <c r="J4" s="2537"/>
      <c r="K4" s="238"/>
      <c r="L4" s="238"/>
      <c r="M4" s="238"/>
      <c r="N4" s="238"/>
      <c r="O4" s="238"/>
      <c r="P4" s="238"/>
      <c r="Q4" s="238"/>
      <c r="R4" s="238"/>
    </row>
    <row r="5" spans="1:18" ht="12.75" customHeight="1" x14ac:dyDescent="0.25">
      <c r="A5" s="2539" t="s">
        <v>2098</v>
      </c>
      <c r="B5" s="2540"/>
      <c r="C5" s="2600"/>
      <c r="D5" s="2600"/>
      <c r="E5" s="2622"/>
      <c r="F5" s="2622">
        <v>1.04E-2</v>
      </c>
      <c r="G5" s="2623">
        <v>1.11E-2</v>
      </c>
      <c r="H5" s="2623">
        <v>2.1311E-2</v>
      </c>
      <c r="I5" s="2624">
        <v>2.24502E-2</v>
      </c>
      <c r="J5" s="2622">
        <v>2.3662510800000001E-2</v>
      </c>
      <c r="K5" s="2090"/>
      <c r="L5" s="2090"/>
      <c r="M5" s="2090"/>
      <c r="N5" s="2090"/>
      <c r="O5" s="2090"/>
      <c r="P5" s="2090"/>
      <c r="Q5" s="2090"/>
      <c r="R5" s="2090"/>
    </row>
    <row r="6" spans="1:18" ht="12.75" customHeight="1" x14ac:dyDescent="0.25">
      <c r="A6" s="2539" t="s">
        <v>2099</v>
      </c>
      <c r="B6" s="2540"/>
      <c r="C6" s="2600"/>
      <c r="D6" s="2600"/>
      <c r="E6" s="2622"/>
      <c r="F6" s="2622">
        <v>1.89E-2</v>
      </c>
      <c r="G6" s="2623">
        <v>2.0199999999999999E-2</v>
      </c>
      <c r="H6" s="2623">
        <v>2.1311E-2</v>
      </c>
      <c r="I6" s="2624">
        <v>2.24502E-2</v>
      </c>
      <c r="J6" s="2622">
        <v>2.3662510800000001E-2</v>
      </c>
      <c r="K6" s="2090"/>
      <c r="L6" s="2090"/>
      <c r="M6" s="2090"/>
      <c r="N6" s="2090"/>
      <c r="O6" s="2090"/>
      <c r="P6" s="2090"/>
      <c r="Q6" s="2090"/>
      <c r="R6" s="2090"/>
    </row>
    <row r="7" spans="1:18" ht="12.75" customHeight="1" x14ac:dyDescent="0.25">
      <c r="A7" s="2539" t="s">
        <v>2100</v>
      </c>
      <c r="B7" s="2540"/>
      <c r="C7" s="2600"/>
      <c r="D7" s="2600"/>
      <c r="E7" s="2622"/>
      <c r="F7" s="2622"/>
      <c r="G7" s="2623"/>
      <c r="H7" s="2623"/>
      <c r="I7" s="2624"/>
      <c r="J7" s="2622"/>
      <c r="K7" s="2090"/>
      <c r="L7" s="2090"/>
      <c r="M7" s="2090"/>
      <c r="N7" s="2090"/>
      <c r="O7" s="2090"/>
      <c r="P7" s="2090"/>
      <c r="Q7" s="2090"/>
      <c r="R7" s="2090"/>
    </row>
    <row r="8" spans="1:18" ht="12.75" customHeight="1" x14ac:dyDescent="0.25">
      <c r="A8" s="2539" t="s">
        <v>2101</v>
      </c>
      <c r="B8" s="2540"/>
      <c r="C8" s="2600"/>
      <c r="D8" s="2600"/>
      <c r="E8" s="2622"/>
      <c r="F8" s="2622"/>
      <c r="G8" s="2623"/>
      <c r="H8" s="2623"/>
      <c r="I8" s="2624"/>
      <c r="J8" s="2622"/>
      <c r="K8" s="2090"/>
      <c r="L8" s="2090"/>
      <c r="M8" s="2090"/>
      <c r="N8" s="2090"/>
      <c r="O8" s="2090"/>
      <c r="P8" s="2090"/>
      <c r="Q8" s="2090"/>
      <c r="R8" s="2090"/>
    </row>
    <row r="9" spans="1:18" ht="12.75" customHeight="1" x14ac:dyDescent="0.25">
      <c r="A9" s="2539" t="s">
        <v>2102</v>
      </c>
      <c r="B9" s="2540"/>
      <c r="C9" s="2600"/>
      <c r="D9" s="2600"/>
      <c r="E9" s="2622"/>
      <c r="F9" s="2622">
        <v>2.5999999999999999E-3</v>
      </c>
      <c r="G9" s="2623">
        <v>2.7000000000000001E-3</v>
      </c>
      <c r="H9" s="2623">
        <v>2.8484999999999999E-3</v>
      </c>
      <c r="I9" s="2624">
        <v>3.0023189999999998E-3</v>
      </c>
      <c r="J9" s="2622">
        <v>3.1644442200000002E-3</v>
      </c>
      <c r="K9" s="2090"/>
      <c r="L9" s="2090"/>
      <c r="M9" s="2090"/>
      <c r="N9" s="2090"/>
      <c r="O9" s="2090"/>
      <c r="P9" s="2090"/>
      <c r="Q9" s="2090"/>
      <c r="R9" s="2090"/>
    </row>
    <row r="10" spans="1:18" ht="12.75" customHeight="1" x14ac:dyDescent="0.25">
      <c r="A10" s="2539" t="s">
        <v>2103</v>
      </c>
      <c r="B10" s="2540"/>
      <c r="C10" s="2600"/>
      <c r="D10" s="2600"/>
      <c r="E10" s="2622"/>
      <c r="F10" s="2622"/>
      <c r="G10" s="2623"/>
      <c r="H10" s="2623"/>
      <c r="I10" s="2624"/>
      <c r="J10" s="2622"/>
      <c r="K10" s="2090"/>
      <c r="L10" s="2090"/>
      <c r="M10" s="2090"/>
      <c r="N10" s="2090"/>
      <c r="O10" s="2090"/>
      <c r="P10" s="2090"/>
      <c r="Q10" s="2090"/>
      <c r="R10" s="2090"/>
    </row>
    <row r="11" spans="1:18" ht="12.75" customHeight="1" x14ac:dyDescent="0.25">
      <c r="A11" s="2539" t="s">
        <v>2104</v>
      </c>
      <c r="B11" s="2540"/>
      <c r="C11" s="2600"/>
      <c r="D11" s="2600"/>
      <c r="E11" s="2622"/>
      <c r="F11" s="2622"/>
      <c r="G11" s="2623"/>
      <c r="H11" s="2623"/>
      <c r="I11" s="2624"/>
      <c r="J11" s="2622"/>
      <c r="K11" s="2090"/>
      <c r="L11" s="2090"/>
      <c r="M11" s="2090"/>
      <c r="N11" s="2090"/>
      <c r="O11" s="2090"/>
      <c r="P11" s="2090"/>
      <c r="Q11" s="2090"/>
      <c r="R11" s="2090"/>
    </row>
    <row r="12" spans="1:18" ht="12.75" customHeight="1" x14ac:dyDescent="0.25">
      <c r="A12" s="2539" t="s">
        <v>2105</v>
      </c>
      <c r="B12" s="2540"/>
      <c r="C12" s="2600"/>
      <c r="D12" s="2600"/>
      <c r="E12" s="2622"/>
      <c r="F12" s="2622">
        <v>1.61E-2</v>
      </c>
      <c r="G12" s="2623">
        <v>1.41E-2</v>
      </c>
      <c r="H12" s="2623">
        <v>1.835357E-2</v>
      </c>
      <c r="I12" s="2624">
        <v>1.9344662780000001E-2</v>
      </c>
      <c r="J12" s="2622">
        <v>2.0389274570000001E-2</v>
      </c>
      <c r="K12" s="2090"/>
      <c r="L12" s="2090"/>
      <c r="M12" s="2090"/>
      <c r="N12" s="2090"/>
      <c r="O12" s="2090"/>
      <c r="P12" s="2090"/>
      <c r="Q12" s="2090"/>
      <c r="R12" s="2090"/>
    </row>
    <row r="13" spans="1:18" ht="12.75" customHeight="1" x14ac:dyDescent="0.25">
      <c r="A13" s="2539" t="s">
        <v>2106</v>
      </c>
      <c r="B13" s="2540"/>
      <c r="C13" s="2600"/>
      <c r="D13" s="2600"/>
      <c r="E13" s="2622"/>
      <c r="F13" s="2622">
        <v>1.61E-2</v>
      </c>
      <c r="G13" s="2623">
        <v>1.41E-2</v>
      </c>
      <c r="H13" s="2623">
        <v>1.835357E-2</v>
      </c>
      <c r="I13" s="2624">
        <v>1.9344662780000001E-2</v>
      </c>
      <c r="J13" s="2622">
        <v>2.0389274570000001E-2</v>
      </c>
      <c r="K13" s="2090"/>
      <c r="L13" s="2090"/>
      <c r="M13" s="2090"/>
      <c r="N13" s="2090"/>
      <c r="O13" s="2090"/>
      <c r="P13" s="2090"/>
      <c r="Q13" s="2090"/>
      <c r="R13" s="2090"/>
    </row>
    <row r="14" spans="1:18" ht="12.75" customHeight="1" x14ac:dyDescent="0.25">
      <c r="A14" s="2539" t="s">
        <v>2107</v>
      </c>
      <c r="B14" s="2540"/>
      <c r="C14" s="2600"/>
      <c r="D14" s="2600"/>
      <c r="E14" s="2622"/>
      <c r="F14" s="2622">
        <v>1.61E-2</v>
      </c>
      <c r="G14" s="2623">
        <v>1.41E-2</v>
      </c>
      <c r="H14" s="2623">
        <v>1.835357E-2</v>
      </c>
      <c r="I14" s="2624">
        <v>1.9344662780000001E-2</v>
      </c>
      <c r="J14" s="2622">
        <v>2.0389274570000001E-2</v>
      </c>
      <c r="K14" s="2090"/>
      <c r="L14" s="2090"/>
      <c r="M14" s="2090"/>
      <c r="N14" s="2090"/>
      <c r="O14" s="2090"/>
      <c r="P14" s="2090"/>
      <c r="Q14" s="2090"/>
      <c r="R14" s="2090"/>
    </row>
    <row r="15" spans="1:18" ht="12.75" customHeight="1" x14ac:dyDescent="0.25">
      <c r="A15" s="2539" t="s">
        <v>2108</v>
      </c>
      <c r="B15" s="2540"/>
      <c r="C15" s="2600"/>
      <c r="D15" s="2600"/>
      <c r="E15" s="2622"/>
      <c r="F15" s="2622">
        <v>1.61E-2</v>
      </c>
      <c r="G15" s="2623">
        <v>1.41E-2</v>
      </c>
      <c r="H15" s="2623">
        <v>1.835357E-2</v>
      </c>
      <c r="I15" s="2624">
        <v>1.9344662780000001E-2</v>
      </c>
      <c r="J15" s="2622">
        <v>2.0389274570000001E-2</v>
      </c>
      <c r="K15" s="2090"/>
      <c r="L15" s="2090"/>
      <c r="M15" s="2090"/>
      <c r="N15" s="2090"/>
      <c r="O15" s="2090"/>
      <c r="P15" s="2090"/>
      <c r="Q15" s="2090"/>
      <c r="R15" s="2090"/>
    </row>
    <row r="16" spans="1:18" ht="12.75" customHeight="1" x14ac:dyDescent="0.25">
      <c r="A16" s="2539" t="s">
        <v>2109</v>
      </c>
      <c r="B16" s="2540"/>
      <c r="C16" s="2600"/>
      <c r="D16" s="2600"/>
      <c r="E16" s="2622"/>
      <c r="F16" s="2622">
        <v>1.61E-2</v>
      </c>
      <c r="G16" s="2623">
        <v>1.41E-2</v>
      </c>
      <c r="H16" s="2623">
        <v>1.835357E-2</v>
      </c>
      <c r="I16" s="2624">
        <v>1.9344662780000001E-2</v>
      </c>
      <c r="J16" s="2622">
        <v>2.0389274570000001E-2</v>
      </c>
      <c r="K16" s="2307"/>
      <c r="L16" s="2307"/>
      <c r="M16" s="2307"/>
      <c r="N16" s="2307"/>
      <c r="O16" s="2307"/>
      <c r="P16" s="2307"/>
      <c r="Q16" s="2307"/>
      <c r="R16" s="2307"/>
    </row>
    <row r="17" spans="1:18" ht="12.75" customHeight="1" x14ac:dyDescent="0.25">
      <c r="A17" s="2539" t="s">
        <v>2110</v>
      </c>
      <c r="B17" s="2540"/>
      <c r="C17" s="2600"/>
      <c r="D17" s="2600"/>
      <c r="E17" s="2622"/>
      <c r="F17" s="2622">
        <v>1.61E-2</v>
      </c>
      <c r="G17" s="2623">
        <v>1.41E-2</v>
      </c>
      <c r="H17" s="2623">
        <v>1.835357E-2</v>
      </c>
      <c r="I17" s="2624">
        <v>1.9344662780000001E-2</v>
      </c>
      <c r="J17" s="2622">
        <v>2.0389274570000001E-2</v>
      </c>
      <c r="K17" s="2309"/>
      <c r="L17" s="2309"/>
      <c r="M17" s="2309"/>
      <c r="N17" s="2309"/>
      <c r="O17" s="2309"/>
      <c r="P17" s="2309"/>
      <c r="Q17" s="2309"/>
      <c r="R17" s="2309"/>
    </row>
    <row r="18" spans="1:18" ht="12.75" customHeight="1" x14ac:dyDescent="0.25">
      <c r="A18" s="2539" t="s">
        <v>2111</v>
      </c>
      <c r="B18" s="2540"/>
      <c r="C18" s="2600"/>
      <c r="D18" s="2600"/>
      <c r="E18" s="2622"/>
      <c r="F18" s="2622"/>
      <c r="G18" s="2623"/>
      <c r="H18" s="2623"/>
      <c r="I18" s="2624"/>
      <c r="J18" s="2622"/>
      <c r="K18" s="2310"/>
      <c r="L18" s="2310"/>
      <c r="M18" s="2310"/>
      <c r="N18" s="2310"/>
      <c r="O18" s="2310"/>
      <c r="P18" s="2310"/>
      <c r="Q18" s="2310"/>
      <c r="R18" s="2310"/>
    </row>
    <row r="19" spans="1:18" ht="12.75" customHeight="1" x14ac:dyDescent="0.25">
      <c r="A19" s="2539" t="s">
        <v>2112</v>
      </c>
      <c r="B19" s="2540"/>
      <c r="C19" s="2600"/>
      <c r="D19" s="2600"/>
      <c r="E19" s="2622"/>
      <c r="F19" s="2622"/>
      <c r="G19" s="2623"/>
      <c r="H19" s="2623"/>
      <c r="I19" s="2624"/>
      <c r="J19" s="2622"/>
      <c r="K19" s="2309"/>
      <c r="L19" s="2309"/>
      <c r="M19" s="2309"/>
      <c r="N19" s="2309"/>
      <c r="O19" s="2309"/>
      <c r="P19" s="2309"/>
      <c r="Q19" s="2309"/>
      <c r="R19" s="2309"/>
    </row>
    <row r="20" spans="1:18" ht="12.75" customHeight="1" x14ac:dyDescent="0.25">
      <c r="A20" s="2539" t="s">
        <v>2113</v>
      </c>
      <c r="B20" s="2540"/>
      <c r="C20" s="2600"/>
      <c r="D20" s="2600"/>
      <c r="E20" s="2622"/>
      <c r="F20" s="2622">
        <v>2.5999999999999999E-3</v>
      </c>
      <c r="G20" s="2623">
        <v>0.27</v>
      </c>
      <c r="H20" s="2623">
        <v>2.8484999999999999E-3</v>
      </c>
      <c r="I20" s="2624">
        <v>3.0023189999999998E-3</v>
      </c>
      <c r="J20" s="2622">
        <v>3.1644442200000002E-3</v>
      </c>
      <c r="K20" s="2309"/>
      <c r="L20" s="2309"/>
      <c r="M20" s="2309"/>
      <c r="N20" s="2309"/>
      <c r="O20" s="2309"/>
      <c r="P20" s="2309"/>
      <c r="Q20" s="2309"/>
      <c r="R20" s="2309"/>
    </row>
    <row r="21" spans="1:18" ht="12.75" customHeight="1" x14ac:dyDescent="0.25">
      <c r="A21" s="2539" t="s">
        <v>2114</v>
      </c>
      <c r="B21" s="2540"/>
      <c r="C21" s="2600"/>
      <c r="D21" s="2600"/>
      <c r="E21" s="2601"/>
      <c r="F21" s="2601"/>
      <c r="G21" s="2602"/>
      <c r="H21" s="2602"/>
      <c r="I21" s="2600"/>
      <c r="J21" s="2601"/>
      <c r="K21" s="2309"/>
      <c r="L21" s="2309"/>
      <c r="M21" s="2309"/>
      <c r="N21" s="2309"/>
      <c r="O21" s="2309"/>
      <c r="P21" s="2309"/>
      <c r="Q21" s="2309"/>
      <c r="R21" s="2309"/>
    </row>
    <row r="22" spans="1:18" ht="12.75" customHeight="1" x14ac:dyDescent="0.25">
      <c r="A22" s="2539" t="s">
        <v>414</v>
      </c>
      <c r="B22" s="2540"/>
      <c r="C22" s="2600"/>
      <c r="D22" s="2600"/>
      <c r="E22" s="2601"/>
      <c r="F22" s="2601"/>
      <c r="G22" s="2602"/>
      <c r="H22" s="2602"/>
      <c r="I22" s="2600"/>
      <c r="J22" s="2601"/>
      <c r="K22" s="2309"/>
      <c r="L22" s="2309"/>
      <c r="M22" s="2309"/>
      <c r="N22" s="2309"/>
      <c r="O22" s="2309"/>
      <c r="P22" s="2309"/>
      <c r="Q22" s="2309"/>
      <c r="R22" s="2309"/>
    </row>
    <row r="23" spans="1:18" ht="12.75" customHeight="1" x14ac:dyDescent="0.25">
      <c r="A23" s="2539" t="s">
        <v>2115</v>
      </c>
      <c r="B23" s="2540"/>
      <c r="C23" s="2600"/>
      <c r="D23" s="2600"/>
      <c r="E23" s="2601"/>
      <c r="F23" s="2601"/>
      <c r="G23" s="2602"/>
      <c r="H23" s="2602"/>
      <c r="I23" s="2600"/>
      <c r="J23" s="2601"/>
      <c r="K23" s="2309"/>
      <c r="L23" s="2309"/>
      <c r="M23" s="2309"/>
      <c r="N23" s="2309"/>
      <c r="O23" s="2309"/>
      <c r="P23" s="2309"/>
      <c r="Q23" s="2309"/>
      <c r="R23" s="2309"/>
    </row>
    <row r="24" spans="1:18" ht="12.75" customHeight="1" x14ac:dyDescent="0.25">
      <c r="A24" s="2539" t="s">
        <v>2116</v>
      </c>
      <c r="B24" s="2540"/>
      <c r="C24" s="2600"/>
      <c r="D24" s="2600"/>
      <c r="E24" s="2601"/>
      <c r="F24" s="2601"/>
      <c r="G24" s="2602"/>
      <c r="H24" s="2602"/>
      <c r="I24" s="2600"/>
      <c r="J24" s="2601"/>
      <c r="K24" s="2309"/>
      <c r="L24" s="2309"/>
      <c r="M24" s="2309"/>
      <c r="N24" s="2309"/>
      <c r="O24" s="2309"/>
      <c r="P24" s="2309"/>
      <c r="Q24" s="2309"/>
      <c r="R24" s="2309"/>
    </row>
    <row r="25" spans="1:18" ht="12.75" customHeight="1" x14ac:dyDescent="0.25">
      <c r="A25" s="2539" t="s">
        <v>2117</v>
      </c>
      <c r="B25" s="2541"/>
      <c r="C25" s="2600"/>
      <c r="D25" s="2600"/>
      <c r="E25" s="2601"/>
      <c r="F25" s="2601"/>
      <c r="G25" s="2602"/>
      <c r="H25" s="2602"/>
      <c r="I25" s="2600"/>
      <c r="J25" s="2601"/>
      <c r="K25" s="603"/>
      <c r="L25" s="603"/>
      <c r="M25" s="603"/>
      <c r="N25" s="603"/>
      <c r="O25" s="603"/>
      <c r="P25" s="603"/>
      <c r="Q25" s="603"/>
      <c r="R25" s="603"/>
    </row>
    <row r="26" spans="1:18" ht="5.15" customHeight="1" x14ac:dyDescent="0.25">
      <c r="A26" s="2539"/>
      <c r="B26" s="2541"/>
      <c r="C26" s="2600"/>
      <c r="D26" s="2600"/>
      <c r="E26" s="2600"/>
      <c r="F26" s="2601"/>
      <c r="G26" s="2602"/>
      <c r="H26" s="2602"/>
      <c r="I26" s="2600"/>
      <c r="J26" s="2601"/>
      <c r="K26" s="603"/>
      <c r="L26" s="603"/>
      <c r="M26" s="603"/>
      <c r="N26" s="603"/>
      <c r="O26" s="603"/>
      <c r="P26" s="603"/>
      <c r="Q26" s="603"/>
      <c r="R26" s="603"/>
    </row>
    <row r="27" spans="1:18" ht="12.75" customHeight="1" x14ac:dyDescent="0.25">
      <c r="A27" s="2534" t="s">
        <v>2118</v>
      </c>
      <c r="B27" s="2541"/>
      <c r="C27" s="2542"/>
      <c r="D27" s="2542"/>
      <c r="E27" s="2542"/>
      <c r="F27" s="2543"/>
      <c r="G27" s="2544"/>
      <c r="H27" s="2544"/>
      <c r="I27" s="2542"/>
      <c r="J27" s="2543"/>
      <c r="K27" s="2311"/>
      <c r="L27" s="2311"/>
      <c r="M27" s="2311"/>
      <c r="N27" s="2311"/>
      <c r="O27" s="2311"/>
      <c r="P27" s="2311"/>
      <c r="Q27" s="2311"/>
      <c r="R27" s="2311"/>
    </row>
    <row r="28" spans="1:18" ht="12.75" customHeight="1" x14ac:dyDescent="0.25">
      <c r="A28" s="2545" t="s">
        <v>2098</v>
      </c>
      <c r="B28" s="2541"/>
      <c r="C28" s="2542"/>
      <c r="D28" s="2542"/>
      <c r="E28" s="2542"/>
      <c r="F28" s="2543"/>
      <c r="G28" s="2544"/>
      <c r="H28" s="2544"/>
      <c r="I28" s="2542"/>
      <c r="J28" s="2543"/>
      <c r="K28" s="2311"/>
      <c r="L28" s="2311"/>
      <c r="M28" s="2311"/>
      <c r="N28" s="2311"/>
      <c r="O28" s="2311"/>
      <c r="P28" s="2311"/>
      <c r="Q28" s="2311"/>
      <c r="R28" s="2311"/>
    </row>
    <row r="29" spans="1:18" ht="12.75" customHeight="1" x14ac:dyDescent="0.25">
      <c r="A29" s="2539" t="s">
        <v>2154</v>
      </c>
      <c r="B29" s="2540"/>
      <c r="C29" s="2542"/>
      <c r="D29" s="2542">
        <v>15000</v>
      </c>
      <c r="E29" s="2542">
        <v>15000</v>
      </c>
      <c r="F29" s="2543">
        <v>15000</v>
      </c>
      <c r="G29" s="2544">
        <v>15000</v>
      </c>
      <c r="H29" s="2544">
        <v>15000</v>
      </c>
      <c r="I29" s="2542">
        <v>15000</v>
      </c>
      <c r="J29" s="2543">
        <v>15000</v>
      </c>
      <c r="K29" s="2311"/>
      <c r="L29" s="2311"/>
      <c r="M29" s="2311"/>
      <c r="N29" s="2311"/>
      <c r="O29" s="2311"/>
      <c r="P29" s="2311"/>
      <c r="Q29" s="2311"/>
      <c r="R29" s="2311"/>
    </row>
    <row r="30" spans="1:18" ht="12.75" customHeight="1" x14ac:dyDescent="0.25">
      <c r="A30" s="2546" t="s">
        <v>2119</v>
      </c>
      <c r="B30" s="2540"/>
      <c r="C30" s="2600"/>
      <c r="D30" s="2600"/>
      <c r="E30" s="2600"/>
      <c r="F30" s="2601"/>
      <c r="G30" s="2602"/>
      <c r="H30" s="2602"/>
      <c r="I30" s="2600"/>
      <c r="J30" s="2601"/>
      <c r="K30" s="2311"/>
      <c r="L30" s="2311"/>
      <c r="M30" s="2311"/>
      <c r="N30" s="2311"/>
      <c r="O30" s="2311"/>
      <c r="P30" s="2311"/>
      <c r="Q30" s="2311"/>
      <c r="R30" s="2311"/>
    </row>
    <row r="31" spans="1:18" ht="12.75" customHeight="1" x14ac:dyDescent="0.25">
      <c r="A31" s="1271" t="s">
        <v>2120</v>
      </c>
      <c r="B31" s="2540"/>
      <c r="C31" s="2600"/>
      <c r="D31" s="2600"/>
      <c r="E31" s="2600"/>
      <c r="F31" s="2601"/>
      <c r="G31" s="2602"/>
      <c r="H31" s="2602"/>
      <c r="I31" s="2600"/>
      <c r="J31" s="2601"/>
      <c r="K31" s="2311"/>
      <c r="L31" s="2311"/>
      <c r="M31" s="2311"/>
      <c r="N31" s="2311"/>
      <c r="O31" s="2311"/>
      <c r="P31" s="2311"/>
      <c r="Q31" s="2311"/>
      <c r="R31" s="2311"/>
    </row>
    <row r="32" spans="1:18" ht="12.75" customHeight="1" x14ac:dyDescent="0.25">
      <c r="A32" s="1271" t="s">
        <v>2121</v>
      </c>
      <c r="B32" s="2540"/>
      <c r="C32" s="2600"/>
      <c r="D32" s="2600"/>
      <c r="E32" s="2600"/>
      <c r="F32" s="2601"/>
      <c r="G32" s="2602"/>
      <c r="H32" s="2602"/>
      <c r="I32" s="2600"/>
      <c r="J32" s="2601"/>
      <c r="K32" s="2311"/>
      <c r="L32" s="2311"/>
      <c r="M32" s="2311"/>
      <c r="N32" s="2311"/>
      <c r="O32" s="2311"/>
      <c r="P32" s="2311"/>
      <c r="Q32" s="2311"/>
      <c r="R32" s="2311"/>
    </row>
    <row r="33" spans="1:19" ht="12.75" customHeight="1" x14ac:dyDescent="0.25">
      <c r="A33" s="1271" t="s">
        <v>2122</v>
      </c>
      <c r="B33" s="2540"/>
      <c r="C33" s="2600"/>
      <c r="D33" s="2600"/>
      <c r="E33" s="2600"/>
      <c r="F33" s="2601"/>
      <c r="G33" s="2602"/>
      <c r="H33" s="2602"/>
      <c r="I33" s="2600"/>
      <c r="J33" s="2601"/>
      <c r="K33" s="2301"/>
      <c r="L33" s="2301"/>
      <c r="M33" s="2301"/>
      <c r="N33" s="2301"/>
      <c r="O33" s="2301"/>
      <c r="P33" s="2301"/>
      <c r="Q33" s="2301"/>
      <c r="R33" s="2301"/>
    </row>
    <row r="34" spans="1:19" ht="12.75" customHeight="1" x14ac:dyDescent="0.25">
      <c r="A34" s="1271" t="s">
        <v>2123</v>
      </c>
      <c r="B34" s="2540"/>
      <c r="C34" s="2600"/>
      <c r="D34" s="2600"/>
      <c r="E34" s="2600"/>
      <c r="F34" s="2601"/>
      <c r="G34" s="2602"/>
      <c r="H34" s="2602"/>
      <c r="I34" s="2600"/>
      <c r="J34" s="2601"/>
      <c r="K34" s="2312"/>
      <c r="L34" s="2312"/>
      <c r="M34" s="2312"/>
      <c r="N34" s="2312"/>
      <c r="O34" s="2312"/>
      <c r="P34" s="2312"/>
      <c r="Q34" s="2312"/>
      <c r="R34" s="2312"/>
    </row>
    <row r="35" spans="1:19" ht="12.75" customHeight="1" x14ac:dyDescent="0.25">
      <c r="A35" s="1270" t="s">
        <v>2276</v>
      </c>
      <c r="B35" s="2540">
        <v>2</v>
      </c>
      <c r="C35" s="2600"/>
      <c r="D35" s="2600"/>
      <c r="E35" s="2600"/>
      <c r="F35" s="2601"/>
      <c r="G35" s="2602"/>
      <c r="H35" s="2602"/>
      <c r="I35" s="2600"/>
      <c r="J35" s="2601"/>
      <c r="K35" s="2312"/>
      <c r="L35" s="2312"/>
      <c r="M35" s="2312"/>
      <c r="N35" s="2312"/>
      <c r="O35" s="2312"/>
      <c r="P35" s="2312"/>
      <c r="Q35" s="2312"/>
      <c r="R35" s="2312"/>
    </row>
    <row r="36" spans="1:19" ht="5.15" customHeight="1" x14ac:dyDescent="0.25">
      <c r="A36" s="2547"/>
      <c r="B36" s="2541"/>
      <c r="C36" s="2541"/>
      <c r="D36" s="2548"/>
      <c r="E36" s="2548"/>
      <c r="F36" s="2549"/>
      <c r="G36" s="2550"/>
      <c r="H36" s="2550"/>
      <c r="I36" s="2548"/>
      <c r="J36" s="2549"/>
      <c r="K36" s="2314"/>
      <c r="L36" s="2314"/>
      <c r="M36" s="2314"/>
      <c r="N36" s="2314"/>
      <c r="O36" s="2314"/>
      <c r="P36" s="2314"/>
      <c r="Q36" s="2314"/>
      <c r="R36" s="2314"/>
    </row>
    <row r="37" spans="1:19" ht="12.75" customHeight="1" x14ac:dyDescent="0.25">
      <c r="A37" s="2534" t="s">
        <v>2124</v>
      </c>
      <c r="B37" s="2541"/>
      <c r="C37" s="2541"/>
      <c r="D37" s="2542"/>
      <c r="E37" s="2542"/>
      <c r="F37" s="2543"/>
      <c r="G37" s="2544"/>
      <c r="H37" s="2544"/>
      <c r="I37" s="2542"/>
      <c r="J37" s="2543"/>
      <c r="K37" s="2302"/>
      <c r="L37" s="2302"/>
      <c r="M37" s="2302"/>
      <c r="N37" s="2302"/>
      <c r="O37" s="2302"/>
      <c r="P37" s="2302"/>
      <c r="Q37" s="2302"/>
      <c r="R37" s="2302"/>
    </row>
    <row r="38" spans="1:19" ht="12.75" customHeight="1" x14ac:dyDescent="0.25">
      <c r="A38" s="2545" t="s">
        <v>2125</v>
      </c>
      <c r="B38" s="2540"/>
      <c r="C38" s="2541"/>
      <c r="D38" s="2542"/>
      <c r="E38" s="2542"/>
      <c r="F38" s="2543"/>
      <c r="G38" s="2544"/>
      <c r="H38" s="2544"/>
      <c r="I38" s="2542"/>
      <c r="J38" s="2543"/>
      <c r="K38" s="2315"/>
      <c r="L38" s="2315"/>
      <c r="M38" s="2315"/>
      <c r="N38" s="2315"/>
      <c r="O38" s="2315"/>
      <c r="P38" s="2315"/>
      <c r="Q38" s="2315"/>
      <c r="R38" s="2315"/>
    </row>
    <row r="39" spans="1:19" ht="12.75" customHeight="1" x14ac:dyDescent="0.25">
      <c r="A39" s="2539" t="s">
        <v>2126</v>
      </c>
      <c r="B39" s="2540"/>
      <c r="C39" s="2600" t="s">
        <v>2359</v>
      </c>
      <c r="D39" s="2600"/>
      <c r="E39" s="2600"/>
      <c r="F39" s="2601">
        <v>0</v>
      </c>
      <c r="G39" s="2602">
        <v>15</v>
      </c>
      <c r="H39" s="2602">
        <v>16.5</v>
      </c>
      <c r="I39" s="2600">
        <v>17.572500000000002</v>
      </c>
      <c r="J39" s="2601">
        <v>18.714712500000001</v>
      </c>
      <c r="K39" s="1332"/>
      <c r="L39" s="1332"/>
      <c r="M39" s="1332"/>
      <c r="N39" s="1332"/>
      <c r="O39" s="1332"/>
      <c r="P39" s="1332"/>
      <c r="Q39" s="1332"/>
      <c r="R39" s="1332"/>
      <c r="S39" s="210">
        <f>SUM(C39:R39)</f>
        <v>67.78721250000001</v>
      </c>
    </row>
    <row r="40" spans="1:19" ht="12.75" customHeight="1" x14ac:dyDescent="0.25">
      <c r="A40" s="2539" t="s">
        <v>2127</v>
      </c>
      <c r="B40" s="2540"/>
      <c r="C40" s="2600"/>
      <c r="D40" s="2600"/>
      <c r="E40" s="2600"/>
      <c r="F40" s="2601"/>
      <c r="G40" s="2602"/>
      <c r="H40" s="2602"/>
      <c r="I40" s="2600"/>
      <c r="J40" s="2601"/>
      <c r="K40" s="1332"/>
      <c r="L40" s="1332"/>
      <c r="M40" s="1332"/>
      <c r="N40" s="1332"/>
      <c r="O40" s="1332"/>
      <c r="P40" s="1332"/>
      <c r="Q40" s="1332"/>
      <c r="R40" s="1332"/>
      <c r="S40" s="210">
        <f>SUM(C40:R40)</f>
        <v>0</v>
      </c>
    </row>
    <row r="41" spans="1:19" ht="12.75" customHeight="1" x14ac:dyDescent="0.25">
      <c r="A41" s="2539" t="s">
        <v>2128</v>
      </c>
      <c r="B41" s="2540"/>
      <c r="C41" s="2600"/>
      <c r="D41" s="2600"/>
      <c r="E41" s="2600"/>
      <c r="F41" s="2601"/>
      <c r="G41" s="2602"/>
      <c r="H41" s="2602"/>
      <c r="I41" s="2600"/>
      <c r="J41" s="2601"/>
      <c r="K41" s="2316"/>
      <c r="L41" s="2316"/>
      <c r="M41" s="2316"/>
      <c r="N41" s="2316"/>
      <c r="O41" s="2316"/>
      <c r="P41" s="2316"/>
      <c r="Q41" s="2316"/>
      <c r="R41" s="2316"/>
    </row>
    <row r="42" spans="1:19" ht="12.75" customHeight="1" x14ac:dyDescent="0.25">
      <c r="A42" s="1271" t="s">
        <v>2129</v>
      </c>
      <c r="B42" s="2540"/>
      <c r="C42" s="2600" t="s">
        <v>2360</v>
      </c>
      <c r="D42" s="2600"/>
      <c r="E42" s="2600"/>
      <c r="F42" s="2601"/>
      <c r="G42" s="2602"/>
      <c r="H42" s="2602"/>
      <c r="I42" s="2600"/>
      <c r="J42" s="2601"/>
      <c r="K42" s="2317"/>
      <c r="L42" s="2317"/>
      <c r="M42" s="2317"/>
      <c r="N42" s="2317"/>
      <c r="O42" s="2317"/>
      <c r="P42" s="2317"/>
      <c r="Q42" s="2317"/>
      <c r="R42" s="2317"/>
    </row>
    <row r="43" spans="1:19" ht="12.75" customHeight="1" x14ac:dyDescent="0.25">
      <c r="A43" s="1271" t="s">
        <v>2131</v>
      </c>
      <c r="B43" s="2540"/>
      <c r="C43" s="2600" t="s">
        <v>2361</v>
      </c>
      <c r="D43" s="2600">
        <v>0</v>
      </c>
      <c r="E43" s="2600">
        <v>0</v>
      </c>
      <c r="F43" s="2601">
        <v>32.520000000000003</v>
      </c>
      <c r="G43" s="2602">
        <v>37.4</v>
      </c>
      <c r="H43" s="2602">
        <v>41.14</v>
      </c>
      <c r="I43" s="2600">
        <v>43.814100000000003</v>
      </c>
      <c r="J43" s="2601">
        <v>46.6620165</v>
      </c>
      <c r="K43" s="2317"/>
      <c r="L43" s="2317"/>
      <c r="M43" s="2317"/>
      <c r="N43" s="2317"/>
      <c r="O43" s="2317"/>
      <c r="P43" s="2317"/>
      <c r="Q43" s="2317"/>
      <c r="R43" s="2317"/>
    </row>
    <row r="44" spans="1:19" ht="12.75" customHeight="1" x14ac:dyDescent="0.25">
      <c r="A44" s="1271" t="s">
        <v>2133</v>
      </c>
      <c r="B44" s="2540"/>
      <c r="C44" s="2600" t="s">
        <v>2362</v>
      </c>
      <c r="D44" s="2600"/>
      <c r="E44" s="2600"/>
      <c r="F44" s="2601">
        <v>10.94</v>
      </c>
      <c r="G44" s="2602">
        <v>12.58</v>
      </c>
      <c r="H44" s="2602">
        <v>13.837999999999999</v>
      </c>
      <c r="I44" s="2600">
        <v>14.73747</v>
      </c>
      <c r="J44" s="2601">
        <v>15.69540555</v>
      </c>
      <c r="K44" s="2317"/>
      <c r="L44" s="2317"/>
      <c r="M44" s="2317"/>
      <c r="N44" s="2317"/>
      <c r="O44" s="2317"/>
      <c r="P44" s="2317"/>
      <c r="Q44" s="2317"/>
      <c r="R44" s="2317"/>
    </row>
    <row r="45" spans="1:19" ht="12.75" customHeight="1" x14ac:dyDescent="0.25">
      <c r="A45" s="1271" t="s">
        <v>2134</v>
      </c>
      <c r="B45" s="2540"/>
      <c r="C45" s="2600" t="s">
        <v>2363</v>
      </c>
      <c r="D45" s="2600"/>
      <c r="E45" s="2600"/>
      <c r="F45" s="2601">
        <v>16.5</v>
      </c>
      <c r="G45" s="2602">
        <v>18.57</v>
      </c>
      <c r="H45" s="2602">
        <v>20.427</v>
      </c>
      <c r="I45" s="2600">
        <v>21.754754999999999</v>
      </c>
      <c r="J45" s="2601">
        <v>23.168814075</v>
      </c>
      <c r="K45" s="2317"/>
      <c r="L45" s="2317"/>
      <c r="M45" s="2317"/>
      <c r="N45" s="2317"/>
      <c r="O45" s="2317"/>
      <c r="P45" s="2317"/>
      <c r="Q45" s="2317"/>
      <c r="R45" s="2317"/>
    </row>
    <row r="46" spans="1:19" ht="12.75" customHeight="1" x14ac:dyDescent="0.25">
      <c r="A46" s="1271" t="s">
        <v>2135</v>
      </c>
      <c r="B46" s="2540"/>
      <c r="C46" s="2600" t="s">
        <v>2132</v>
      </c>
      <c r="D46" s="2600"/>
      <c r="E46" s="2600"/>
      <c r="F46" s="2601">
        <v>18.850000000000001</v>
      </c>
      <c r="G46" s="2602">
        <v>21.67</v>
      </c>
      <c r="H46" s="2602">
        <v>23.837</v>
      </c>
      <c r="I46" s="2600">
        <v>25.386405</v>
      </c>
      <c r="J46" s="2601">
        <v>27.036521324999999</v>
      </c>
      <c r="K46" s="2317"/>
      <c r="L46" s="2317"/>
      <c r="M46" s="2317"/>
      <c r="N46" s="2317"/>
      <c r="O46" s="2317"/>
      <c r="P46" s="2317"/>
      <c r="Q46" s="2317"/>
      <c r="R46" s="2317"/>
    </row>
    <row r="47" spans="1:19" ht="12.75" customHeight="1" x14ac:dyDescent="0.25">
      <c r="A47" s="1270" t="s">
        <v>292</v>
      </c>
      <c r="B47" s="2540">
        <v>2</v>
      </c>
      <c r="C47" s="2600"/>
      <c r="D47" s="2600"/>
      <c r="E47" s="2600"/>
      <c r="F47" s="2601"/>
      <c r="G47" s="2602"/>
      <c r="H47" s="2602"/>
      <c r="I47" s="2600"/>
      <c r="J47" s="2601"/>
      <c r="K47" s="2317"/>
      <c r="L47" s="2317"/>
      <c r="M47" s="2317"/>
      <c r="N47" s="2317"/>
      <c r="O47" s="2317"/>
      <c r="P47" s="2317"/>
      <c r="Q47" s="2317"/>
      <c r="R47" s="2317"/>
    </row>
    <row r="48" spans="1:19" ht="4.5" customHeight="1" x14ac:dyDescent="0.25">
      <c r="A48" s="1220"/>
      <c r="B48" s="2540"/>
      <c r="C48" s="2541"/>
      <c r="D48" s="2542"/>
      <c r="E48" s="2542"/>
      <c r="F48" s="2543"/>
      <c r="G48" s="2544"/>
      <c r="H48" s="2544"/>
      <c r="I48" s="2542"/>
      <c r="J48" s="2543"/>
      <c r="K48" s="261"/>
      <c r="L48" s="261"/>
      <c r="M48" s="261"/>
      <c r="N48" s="261"/>
      <c r="O48" s="261"/>
      <c r="P48" s="261"/>
      <c r="Q48" s="261"/>
      <c r="R48" s="261"/>
    </row>
    <row r="49" spans="1:18" ht="12.75" customHeight="1" x14ac:dyDescent="0.25">
      <c r="A49" s="2534" t="s">
        <v>2137</v>
      </c>
      <c r="B49" s="2540"/>
      <c r="C49" s="2541"/>
      <c r="D49" s="2542"/>
      <c r="E49" s="2542"/>
      <c r="F49" s="2543"/>
      <c r="G49" s="2544"/>
      <c r="H49" s="2544"/>
      <c r="I49" s="2542"/>
      <c r="J49" s="2543"/>
      <c r="K49" s="363"/>
      <c r="L49" s="363"/>
      <c r="M49" s="363"/>
      <c r="N49" s="363"/>
      <c r="O49" s="363"/>
      <c r="P49" s="363"/>
      <c r="Q49" s="363"/>
      <c r="R49" s="363"/>
    </row>
    <row r="50" spans="1:18" s="1062" customFormat="1" ht="12.75" customHeight="1" x14ac:dyDescent="0.25">
      <c r="A50" s="2545" t="s">
        <v>2125</v>
      </c>
      <c r="B50" s="2540"/>
      <c r="C50" s="2541"/>
      <c r="D50" s="2542"/>
      <c r="E50" s="2542"/>
      <c r="F50" s="2543"/>
      <c r="G50" s="2544"/>
      <c r="H50" s="2544"/>
      <c r="I50" s="2542"/>
      <c r="J50" s="2543"/>
      <c r="K50" s="1040"/>
      <c r="L50" s="1040"/>
      <c r="M50" s="1040"/>
      <c r="N50" s="1040"/>
      <c r="O50" s="1040"/>
      <c r="P50" s="1040"/>
      <c r="Q50" s="1040"/>
      <c r="R50" s="1040"/>
    </row>
    <row r="51" spans="1:18" s="1062" customFormat="1" ht="12.75" customHeight="1" x14ac:dyDescent="0.25">
      <c r="A51" s="2539" t="s">
        <v>2126</v>
      </c>
      <c r="B51" s="2540"/>
      <c r="C51" s="2600" t="s">
        <v>2364</v>
      </c>
      <c r="D51" s="2600"/>
      <c r="E51" s="2600"/>
      <c r="F51" s="2601"/>
      <c r="G51" s="2602"/>
      <c r="H51" s="2602"/>
      <c r="I51" s="2600"/>
      <c r="J51" s="2601"/>
      <c r="K51" s="1040"/>
      <c r="L51" s="1040"/>
      <c r="M51" s="1040"/>
      <c r="N51" s="1040"/>
      <c r="O51" s="1040"/>
      <c r="P51" s="1040"/>
      <c r="Q51" s="1040"/>
      <c r="R51" s="1040"/>
    </row>
    <row r="52" spans="1:18" s="1062" customFormat="1" ht="12.75" customHeight="1" x14ac:dyDescent="0.25">
      <c r="A52" s="2539" t="s">
        <v>2127</v>
      </c>
      <c r="B52" s="2540"/>
      <c r="C52" s="2600"/>
      <c r="D52" s="2600"/>
      <c r="E52" s="2600"/>
      <c r="F52" s="2601">
        <v>102</v>
      </c>
      <c r="G52" s="2602">
        <v>109.13</v>
      </c>
      <c r="H52" s="2602">
        <v>115.13215</v>
      </c>
      <c r="I52" s="2600">
        <v>121.3492861</v>
      </c>
      <c r="J52" s="2601">
        <v>127.90214754900001</v>
      </c>
      <c r="K52" s="1040"/>
      <c r="L52" s="1040"/>
      <c r="M52" s="1040"/>
      <c r="N52" s="1040"/>
      <c r="O52" s="1040"/>
      <c r="P52" s="1040"/>
      <c r="Q52" s="1040"/>
      <c r="R52" s="1040"/>
    </row>
    <row r="53" spans="1:18" s="1062" customFormat="1" ht="12.75" customHeight="1" x14ac:dyDescent="0.25">
      <c r="A53" s="2539" t="s">
        <v>2138</v>
      </c>
      <c r="B53" s="2540"/>
      <c r="C53" s="2600"/>
      <c r="D53" s="2600"/>
      <c r="E53" s="2600"/>
      <c r="F53" s="2601"/>
      <c r="G53" s="2602"/>
      <c r="H53" s="2602"/>
      <c r="I53" s="2600"/>
      <c r="J53" s="2601"/>
      <c r="K53" s="1040"/>
      <c r="L53" s="1040"/>
      <c r="M53" s="1040"/>
      <c r="N53" s="1040"/>
      <c r="O53" s="1040"/>
      <c r="P53" s="1040"/>
      <c r="Q53" s="1040"/>
      <c r="R53" s="1040"/>
    </row>
    <row r="54" spans="1:18" s="1062" customFormat="1" ht="12.75" customHeight="1" x14ac:dyDescent="0.25">
      <c r="A54" s="2539" t="s">
        <v>2139</v>
      </c>
      <c r="B54" s="2540"/>
      <c r="C54" s="2600" t="s">
        <v>2140</v>
      </c>
      <c r="D54" s="2600"/>
      <c r="E54" s="2600"/>
      <c r="F54" s="2601"/>
      <c r="G54" s="2602"/>
      <c r="H54" s="2602"/>
      <c r="I54" s="2600"/>
      <c r="J54" s="2601"/>
      <c r="K54" s="1040"/>
      <c r="L54" s="1040"/>
      <c r="M54" s="1040"/>
      <c r="N54" s="1040"/>
      <c r="O54" s="1040"/>
      <c r="P54" s="1040"/>
      <c r="Q54" s="1040"/>
      <c r="R54" s="1040"/>
    </row>
    <row r="55" spans="1:18" s="1062" customFormat="1" ht="12.75" customHeight="1" x14ac:dyDescent="0.25">
      <c r="A55" s="2539" t="s">
        <v>2141</v>
      </c>
      <c r="B55" s="2540"/>
      <c r="C55" s="2600" t="s">
        <v>2140</v>
      </c>
      <c r="D55" s="2600"/>
      <c r="E55" s="2600"/>
      <c r="F55" s="2601">
        <v>102</v>
      </c>
      <c r="G55" s="2602">
        <v>109.13</v>
      </c>
      <c r="H55" s="2602">
        <v>115.13215</v>
      </c>
      <c r="I55" s="2600">
        <v>121.3492861</v>
      </c>
      <c r="J55" s="2601">
        <v>127.90214754900001</v>
      </c>
      <c r="K55" s="1040"/>
      <c r="L55" s="1040"/>
      <c r="M55" s="1040"/>
      <c r="N55" s="1040"/>
      <c r="O55" s="1040"/>
      <c r="P55" s="1040"/>
      <c r="Q55" s="1040"/>
      <c r="R55" s="1040"/>
    </row>
    <row r="56" spans="1:18" s="1062" customFormat="1" ht="12.75" customHeight="1" x14ac:dyDescent="0.25">
      <c r="A56" s="2539" t="s">
        <v>2142</v>
      </c>
      <c r="B56" s="2540"/>
      <c r="C56" s="2600" t="s">
        <v>2140</v>
      </c>
      <c r="D56" s="2600"/>
      <c r="E56" s="2600"/>
      <c r="F56" s="2601">
        <v>5.41</v>
      </c>
      <c r="G56" s="2602">
        <v>5.79</v>
      </c>
      <c r="H56" s="2602">
        <v>6.1084500000000004</v>
      </c>
      <c r="I56" s="2600">
        <v>6.4383062999999998</v>
      </c>
      <c r="J56" s="2601">
        <v>6.7859748401999997</v>
      </c>
      <c r="K56" s="1040"/>
      <c r="L56" s="1040"/>
      <c r="M56" s="1040"/>
      <c r="N56" s="1040"/>
      <c r="O56" s="1040"/>
      <c r="P56" s="1040"/>
      <c r="Q56" s="1040"/>
      <c r="R56" s="1040"/>
    </row>
    <row r="57" spans="1:18" ht="12.75" customHeight="1" x14ac:dyDescent="0.3">
      <c r="A57" s="2539" t="s">
        <v>2143</v>
      </c>
      <c r="B57" s="2540"/>
      <c r="C57" s="2600" t="s">
        <v>2140</v>
      </c>
      <c r="D57" s="2600"/>
      <c r="E57" s="2600"/>
      <c r="F57" s="2601">
        <v>5.53</v>
      </c>
      <c r="G57" s="2602">
        <v>5.92</v>
      </c>
      <c r="H57" s="2602">
        <v>6.24</v>
      </c>
      <c r="I57" s="2600">
        <v>6.5769599999999997</v>
      </c>
      <c r="J57" s="2601">
        <v>6.9321158399999998</v>
      </c>
      <c r="K57" s="935"/>
      <c r="L57" s="935"/>
      <c r="M57" s="935"/>
      <c r="N57" s="935"/>
      <c r="O57" s="935"/>
      <c r="P57" s="935"/>
      <c r="Q57" s="935"/>
      <c r="R57" s="935"/>
    </row>
    <row r="58" spans="1:18" ht="12.75" customHeight="1" x14ac:dyDescent="0.25">
      <c r="A58" s="1270" t="s">
        <v>292</v>
      </c>
      <c r="B58" s="2540">
        <v>2</v>
      </c>
      <c r="C58" s="2600"/>
      <c r="D58" s="2600"/>
      <c r="E58" s="2600"/>
      <c r="F58" s="2601"/>
      <c r="G58" s="2602"/>
      <c r="H58" s="2602"/>
      <c r="I58" s="2600"/>
      <c r="J58" s="2601"/>
      <c r="K58" s="2298"/>
      <c r="L58" s="2298"/>
      <c r="M58" s="2298"/>
      <c r="N58" s="2298"/>
      <c r="O58" s="2298"/>
      <c r="P58" s="2298"/>
      <c r="Q58" s="2298"/>
      <c r="R58" s="2298"/>
    </row>
    <row r="59" spans="1:18" ht="4.5" customHeight="1" x14ac:dyDescent="0.25">
      <c r="A59" s="2551"/>
      <c r="B59" s="2541"/>
      <c r="C59" s="2541"/>
      <c r="D59" s="2542"/>
      <c r="E59" s="2542"/>
      <c r="F59" s="2543"/>
      <c r="G59" s="2544"/>
      <c r="H59" s="2544"/>
      <c r="I59" s="2542"/>
      <c r="J59" s="2543"/>
      <c r="K59" s="238"/>
      <c r="L59" s="238"/>
      <c r="M59" s="238"/>
      <c r="N59" s="238"/>
      <c r="O59" s="238"/>
      <c r="P59" s="238"/>
      <c r="Q59" s="238"/>
      <c r="R59" s="238"/>
    </row>
    <row r="60" spans="1:18" ht="12.75" customHeight="1" x14ac:dyDescent="0.25">
      <c r="A60" s="2534" t="s">
        <v>2144</v>
      </c>
      <c r="B60" s="2540"/>
      <c r="C60" s="2541"/>
      <c r="D60" s="2542"/>
      <c r="E60" s="2542"/>
      <c r="F60" s="2543"/>
      <c r="G60" s="2544"/>
      <c r="H60" s="2544"/>
      <c r="I60" s="2542"/>
      <c r="J60" s="2543"/>
      <c r="K60" s="238"/>
      <c r="L60" s="238"/>
      <c r="M60" s="238"/>
      <c r="N60" s="238"/>
      <c r="O60" s="238"/>
      <c r="P60" s="238"/>
      <c r="Q60" s="238"/>
      <c r="R60" s="238"/>
    </row>
    <row r="61" spans="1:18" ht="12.75" customHeight="1" x14ac:dyDescent="0.25">
      <c r="A61" s="2545" t="s">
        <v>2125</v>
      </c>
      <c r="B61" s="2540"/>
      <c r="C61" s="2541"/>
      <c r="D61" s="2542"/>
      <c r="E61" s="2542"/>
      <c r="F61" s="2543"/>
      <c r="G61" s="2544"/>
      <c r="H61" s="2544"/>
      <c r="I61" s="2542"/>
      <c r="J61" s="2543"/>
      <c r="K61" s="2090"/>
      <c r="L61" s="2090"/>
      <c r="M61" s="2090"/>
      <c r="N61" s="2090"/>
      <c r="O61" s="2090"/>
      <c r="P61" s="2090"/>
      <c r="Q61" s="2090"/>
      <c r="R61" s="2090"/>
    </row>
    <row r="62" spans="1:18" ht="12.75" customHeight="1" x14ac:dyDescent="0.25">
      <c r="A62" s="2539" t="s">
        <v>2126</v>
      </c>
      <c r="B62" s="2540"/>
      <c r="C62" s="2600"/>
      <c r="D62" s="2600"/>
      <c r="E62" s="2600"/>
      <c r="F62" s="2601">
        <v>16.2</v>
      </c>
      <c r="G62" s="2602">
        <v>17.5</v>
      </c>
      <c r="H62" s="2602">
        <v>19.25</v>
      </c>
      <c r="I62" s="2600">
        <v>20.79</v>
      </c>
      <c r="J62" s="2601">
        <v>22.453199999999999</v>
      </c>
      <c r="K62" s="2090"/>
      <c r="L62" s="2090"/>
      <c r="M62" s="2090"/>
      <c r="N62" s="2090"/>
      <c r="O62" s="2090"/>
      <c r="P62" s="2090"/>
      <c r="Q62" s="2090"/>
      <c r="R62" s="2090"/>
    </row>
    <row r="63" spans="1:18" ht="12.75" customHeight="1" x14ac:dyDescent="0.25">
      <c r="A63" s="2539" t="s">
        <v>2145</v>
      </c>
      <c r="B63" s="2540"/>
      <c r="C63" s="2600"/>
      <c r="D63" s="2600"/>
      <c r="E63" s="2600"/>
      <c r="F63" s="2601"/>
      <c r="G63" s="2602"/>
      <c r="H63" s="2602"/>
      <c r="I63" s="2600"/>
      <c r="J63" s="2601"/>
      <c r="K63" s="2090"/>
      <c r="L63" s="2090"/>
      <c r="M63" s="2090"/>
      <c r="N63" s="2090"/>
      <c r="O63" s="2090"/>
      <c r="P63" s="2090"/>
      <c r="Q63" s="2090"/>
      <c r="R63" s="2090"/>
    </row>
    <row r="64" spans="1:18" ht="12.75" customHeight="1" x14ac:dyDescent="0.25">
      <c r="A64" s="2552" t="s">
        <v>2146</v>
      </c>
      <c r="B64" s="2540"/>
      <c r="C64" s="2600" t="s">
        <v>2147</v>
      </c>
      <c r="D64" s="2600"/>
      <c r="E64" s="2600"/>
      <c r="F64" s="2601">
        <v>70.855000000000004</v>
      </c>
      <c r="G64" s="2602">
        <v>82.191999999999993</v>
      </c>
      <c r="H64" s="2602">
        <v>90.411199999999994</v>
      </c>
      <c r="I64" s="2600">
        <v>98.644096000000005</v>
      </c>
      <c r="J64" s="2601">
        <v>105.45562368</v>
      </c>
      <c r="K64" s="2090"/>
      <c r="L64" s="2090"/>
      <c r="M64" s="2090"/>
      <c r="N64" s="2090"/>
      <c r="O64" s="2090"/>
      <c r="P64" s="2090"/>
      <c r="Q64" s="2090"/>
      <c r="R64" s="2090"/>
    </row>
    <row r="65" spans="1:18" ht="12.75" customHeight="1" x14ac:dyDescent="0.25">
      <c r="A65" s="2539" t="s">
        <v>2167</v>
      </c>
      <c r="B65" s="2540"/>
      <c r="C65" s="2600" t="s">
        <v>2130</v>
      </c>
      <c r="D65" s="2600"/>
      <c r="E65" s="2600"/>
      <c r="F65" s="2601"/>
      <c r="G65" s="2602"/>
      <c r="H65" s="2602"/>
      <c r="I65" s="2600"/>
      <c r="J65" s="2601"/>
      <c r="K65" s="2090"/>
      <c r="L65" s="2090"/>
      <c r="M65" s="2090"/>
      <c r="N65" s="2090"/>
      <c r="O65" s="2090"/>
      <c r="P65" s="2090"/>
      <c r="Q65" s="2090"/>
      <c r="R65" s="2090"/>
    </row>
    <row r="66" spans="1:18" ht="12.75" customHeight="1" x14ac:dyDescent="0.25">
      <c r="A66" s="2539" t="s">
        <v>2168</v>
      </c>
      <c r="B66" s="2540"/>
      <c r="C66" s="2600" t="s">
        <v>2130</v>
      </c>
      <c r="D66" s="2600"/>
      <c r="E66" s="2600"/>
      <c r="F66" s="2601"/>
      <c r="G66" s="2602"/>
      <c r="H66" s="2602"/>
      <c r="I66" s="2600"/>
      <c r="J66" s="2601"/>
      <c r="K66" s="2090"/>
      <c r="L66" s="2090"/>
      <c r="M66" s="2090"/>
      <c r="N66" s="2090"/>
      <c r="O66" s="2090"/>
      <c r="P66" s="2090"/>
      <c r="Q66" s="2090"/>
      <c r="R66" s="2090"/>
    </row>
    <row r="67" spans="1:18" ht="12.75" customHeight="1" x14ac:dyDescent="0.25">
      <c r="A67" s="2539" t="s">
        <v>2169</v>
      </c>
      <c r="B67" s="2540"/>
      <c r="C67" s="2600"/>
      <c r="D67" s="2600"/>
      <c r="E67" s="2600"/>
      <c r="F67" s="2601"/>
      <c r="G67" s="2602"/>
      <c r="H67" s="2602"/>
      <c r="I67" s="2600"/>
      <c r="J67" s="2601"/>
      <c r="K67" s="2090"/>
      <c r="L67" s="2090"/>
      <c r="M67" s="2090"/>
      <c r="N67" s="2090"/>
      <c r="O67" s="2090"/>
      <c r="P67" s="2090"/>
      <c r="Q67" s="2090"/>
      <c r="R67" s="2090"/>
    </row>
    <row r="68" spans="1:18" ht="12.75" customHeight="1" x14ac:dyDescent="0.25">
      <c r="A68" s="2539" t="s">
        <v>2170</v>
      </c>
      <c r="B68" s="2540"/>
      <c r="C68" s="2600"/>
      <c r="D68" s="2600"/>
      <c r="E68" s="2600"/>
      <c r="F68" s="2601"/>
      <c r="G68" s="2602"/>
      <c r="H68" s="2602"/>
      <c r="I68" s="2600"/>
      <c r="J68" s="2601"/>
      <c r="K68" s="2090"/>
      <c r="L68" s="2090"/>
      <c r="M68" s="2090"/>
      <c r="N68" s="2090"/>
      <c r="O68" s="2090"/>
      <c r="P68" s="2090"/>
      <c r="Q68" s="2090"/>
      <c r="R68" s="2090"/>
    </row>
    <row r="69" spans="1:18" ht="12.75" customHeight="1" x14ac:dyDescent="0.25">
      <c r="A69" s="2539" t="s">
        <v>2171</v>
      </c>
      <c r="B69" s="2540"/>
      <c r="C69" s="2600" t="s">
        <v>2148</v>
      </c>
      <c r="D69" s="2600"/>
      <c r="E69" s="2600"/>
      <c r="F69" s="2601">
        <v>51.140999999999998</v>
      </c>
      <c r="G69" s="2602">
        <v>59.323999999999998</v>
      </c>
      <c r="H69" s="2602">
        <v>64.069919999999996</v>
      </c>
      <c r="I69" s="2600">
        <v>69.195513599999998</v>
      </c>
      <c r="J69" s="2601">
        <v>74.731154688000004</v>
      </c>
      <c r="K69" s="2090"/>
      <c r="L69" s="2090"/>
      <c r="M69" s="2090"/>
      <c r="N69" s="2090"/>
      <c r="O69" s="2090"/>
      <c r="P69" s="2090"/>
      <c r="Q69" s="2090"/>
      <c r="R69" s="2090"/>
    </row>
    <row r="70" spans="1:18" ht="12.75" customHeight="1" x14ac:dyDescent="0.25">
      <c r="A70" s="2539" t="s">
        <v>2172</v>
      </c>
      <c r="B70" s="2540"/>
      <c r="C70" s="2600" t="s">
        <v>2148</v>
      </c>
      <c r="D70" s="2600"/>
      <c r="E70" s="2600"/>
      <c r="F70" s="2601">
        <v>51.140999999999998</v>
      </c>
      <c r="G70" s="2602">
        <v>59.323999999999998</v>
      </c>
      <c r="H70" s="2602">
        <v>64.069919999999996</v>
      </c>
      <c r="I70" s="2600">
        <v>69.195513599999998</v>
      </c>
      <c r="J70" s="2601">
        <v>74.731154688000004</v>
      </c>
      <c r="K70" s="2090"/>
      <c r="L70" s="2090"/>
      <c r="M70" s="2090"/>
      <c r="N70" s="2090"/>
      <c r="O70" s="2090"/>
      <c r="P70" s="2090"/>
      <c r="Q70" s="2090"/>
      <c r="R70" s="2090"/>
    </row>
    <row r="71" spans="1:18" ht="12.75" customHeight="1" x14ac:dyDescent="0.25">
      <c r="A71" s="2539" t="s">
        <v>2173</v>
      </c>
      <c r="B71" s="2540"/>
      <c r="C71" s="2600" t="s">
        <v>2148</v>
      </c>
      <c r="D71" s="2600"/>
      <c r="E71" s="2600"/>
      <c r="F71" s="2601">
        <v>53.018999999999998</v>
      </c>
      <c r="G71" s="2602">
        <v>61.502000000000002</v>
      </c>
      <c r="H71" s="2602">
        <v>67.652199999999993</v>
      </c>
      <c r="I71" s="2600">
        <v>73.064375999999996</v>
      </c>
      <c r="J71" s="2601">
        <v>78.909526080000006</v>
      </c>
      <c r="K71" s="2090"/>
      <c r="L71" s="2090"/>
      <c r="M71" s="2090"/>
      <c r="N71" s="2090"/>
      <c r="O71" s="2090"/>
      <c r="P71" s="2090"/>
      <c r="Q71" s="2090"/>
      <c r="R71" s="2090"/>
    </row>
    <row r="72" spans="1:18" ht="12.75" customHeight="1" x14ac:dyDescent="0.25">
      <c r="A72" s="2539" t="s">
        <v>2174</v>
      </c>
      <c r="B72" s="2540"/>
      <c r="C72" s="2600" t="s">
        <v>2148</v>
      </c>
      <c r="D72" s="2600"/>
      <c r="E72" s="2600"/>
      <c r="F72" s="2601">
        <v>10.95</v>
      </c>
      <c r="G72" s="2602">
        <v>12.702</v>
      </c>
      <c r="H72" s="2602">
        <v>13.972200000000001</v>
      </c>
      <c r="I72" s="2600">
        <v>15.089976</v>
      </c>
      <c r="J72" s="2601">
        <v>16.297174080000001</v>
      </c>
      <c r="K72" s="2090"/>
      <c r="L72" s="2090"/>
      <c r="M72" s="2090"/>
      <c r="N72" s="2090"/>
      <c r="O72" s="2090"/>
      <c r="P72" s="2090"/>
      <c r="Q72" s="2090"/>
      <c r="R72" s="2090"/>
    </row>
    <row r="73" spans="1:18" ht="12.75" customHeight="1" x14ac:dyDescent="0.25">
      <c r="A73" s="2539" t="s">
        <v>2175</v>
      </c>
      <c r="B73" s="2540"/>
      <c r="C73" s="2600" t="s">
        <v>2148</v>
      </c>
      <c r="D73" s="2600"/>
      <c r="E73" s="2600"/>
      <c r="F73" s="2601">
        <v>51.140999999999998</v>
      </c>
      <c r="G73" s="2602">
        <v>59.323999999999998</v>
      </c>
      <c r="H73" s="2602">
        <v>65.256399999999999</v>
      </c>
      <c r="I73" s="2600">
        <v>70.476911999999999</v>
      </c>
      <c r="J73" s="2601">
        <v>76.115064959999998</v>
      </c>
      <c r="K73" s="2090"/>
      <c r="L73" s="2090"/>
      <c r="M73" s="2090"/>
      <c r="N73" s="2090"/>
      <c r="O73" s="2090"/>
      <c r="P73" s="2090"/>
      <c r="Q73" s="2090"/>
      <c r="R73" s="2090"/>
    </row>
    <row r="74" spans="1:18" ht="12.75" customHeight="1" x14ac:dyDescent="0.25">
      <c r="A74" s="2539" t="s">
        <v>2136</v>
      </c>
      <c r="B74" s="2540"/>
      <c r="C74" s="2600" t="s">
        <v>2148</v>
      </c>
      <c r="D74" s="2600"/>
      <c r="E74" s="2600"/>
      <c r="F74" s="2601"/>
      <c r="G74" s="2602"/>
      <c r="H74" s="2602"/>
      <c r="I74" s="2600"/>
      <c r="J74" s="2601"/>
      <c r="K74" s="2090"/>
      <c r="L74" s="2090"/>
      <c r="M74" s="2090"/>
      <c r="N74" s="2090"/>
      <c r="O74" s="2090"/>
      <c r="P74" s="2090"/>
      <c r="Q74" s="2090"/>
      <c r="R74" s="2090"/>
    </row>
    <row r="75" spans="1:18" ht="12.75" customHeight="1" x14ac:dyDescent="0.25">
      <c r="A75" s="2539" t="s">
        <v>2176</v>
      </c>
      <c r="B75" s="2540"/>
      <c r="C75" s="2600" t="s">
        <v>2148</v>
      </c>
      <c r="D75" s="2600"/>
      <c r="E75" s="2600"/>
      <c r="F75" s="2601">
        <v>87.364000000000004</v>
      </c>
      <c r="G75" s="2602">
        <v>101.342</v>
      </c>
      <c r="H75" s="2602">
        <v>111.47620000000001</v>
      </c>
      <c r="I75" s="2600">
        <v>120.394296</v>
      </c>
      <c r="J75" s="2601">
        <v>130.02583967999999</v>
      </c>
      <c r="K75" s="2090"/>
      <c r="L75" s="2090"/>
      <c r="M75" s="2090"/>
      <c r="N75" s="2090"/>
      <c r="O75" s="2090"/>
      <c r="P75" s="2090"/>
      <c r="Q75" s="2090"/>
      <c r="R75" s="2090"/>
    </row>
    <row r="76" spans="1:18" ht="12.75" customHeight="1" x14ac:dyDescent="0.25">
      <c r="A76" s="2539" t="s">
        <v>2177</v>
      </c>
      <c r="B76" s="2540"/>
      <c r="C76" s="2600" t="s">
        <v>2148</v>
      </c>
      <c r="D76" s="2600"/>
      <c r="E76" s="2600"/>
      <c r="F76" s="2601"/>
      <c r="G76" s="2602"/>
      <c r="H76" s="2602"/>
      <c r="I76" s="2600"/>
      <c r="J76" s="2601"/>
      <c r="K76" s="2090"/>
      <c r="L76" s="2090"/>
      <c r="M76" s="2090"/>
      <c r="N76" s="2090"/>
      <c r="O76" s="2090"/>
      <c r="P76" s="2090"/>
      <c r="Q76" s="2090"/>
      <c r="R76" s="2090"/>
    </row>
    <row r="77" spans="1:18" ht="12.75" customHeight="1" x14ac:dyDescent="0.25">
      <c r="A77" s="2539" t="s">
        <v>2178</v>
      </c>
      <c r="B77" s="2540"/>
      <c r="C77" s="2600" t="s">
        <v>2148</v>
      </c>
      <c r="D77" s="2600"/>
      <c r="E77" s="2600"/>
      <c r="F77" s="2601"/>
      <c r="G77" s="2602"/>
      <c r="H77" s="2602"/>
      <c r="I77" s="2600"/>
      <c r="J77" s="2601"/>
      <c r="K77" s="2090"/>
      <c r="L77" s="2090"/>
      <c r="M77" s="2090"/>
      <c r="N77" s="2090"/>
      <c r="O77" s="2090"/>
      <c r="P77" s="2090"/>
      <c r="Q77" s="2090"/>
      <c r="R77" s="2090"/>
    </row>
    <row r="78" spans="1:18" ht="12.75" customHeight="1" x14ac:dyDescent="0.25">
      <c r="A78" s="2539" t="s">
        <v>2179</v>
      </c>
      <c r="B78" s="2540"/>
      <c r="C78" s="2600" t="s">
        <v>2148</v>
      </c>
      <c r="D78" s="2600"/>
      <c r="E78" s="2600"/>
      <c r="F78" s="2601"/>
      <c r="G78" s="2602"/>
      <c r="H78" s="2602"/>
      <c r="I78" s="2600"/>
      <c r="J78" s="2601"/>
      <c r="K78" s="2090"/>
      <c r="L78" s="2090"/>
      <c r="M78" s="2090"/>
      <c r="N78" s="2090"/>
      <c r="O78" s="2090"/>
      <c r="P78" s="2090"/>
      <c r="Q78" s="2090"/>
      <c r="R78" s="2090"/>
    </row>
    <row r="79" spans="1:18" ht="12.75" customHeight="1" x14ac:dyDescent="0.25">
      <c r="A79" s="2539" t="s">
        <v>2180</v>
      </c>
      <c r="B79" s="2540"/>
      <c r="C79" s="2600" t="s">
        <v>2148</v>
      </c>
      <c r="D79" s="2600"/>
      <c r="E79" s="2600"/>
      <c r="F79" s="2601"/>
      <c r="G79" s="2602"/>
      <c r="H79" s="2602"/>
      <c r="I79" s="2600"/>
      <c r="J79" s="2601"/>
      <c r="K79" s="2090"/>
      <c r="L79" s="2090"/>
      <c r="M79" s="2090"/>
      <c r="N79" s="2090"/>
      <c r="O79" s="2090"/>
      <c r="P79" s="2090"/>
      <c r="Q79" s="2090"/>
      <c r="R79" s="2090"/>
    </row>
    <row r="80" spans="1:18" ht="12.75" customHeight="1" x14ac:dyDescent="0.25">
      <c r="A80" s="1270" t="s">
        <v>292</v>
      </c>
      <c r="B80" s="2540">
        <v>2</v>
      </c>
      <c r="C80" s="2600" t="s">
        <v>2148</v>
      </c>
      <c r="D80" s="2600"/>
      <c r="E80" s="2600"/>
      <c r="F80" s="2601"/>
      <c r="G80" s="2602"/>
      <c r="H80" s="2602"/>
      <c r="I80" s="2600"/>
      <c r="J80" s="2601"/>
      <c r="K80" s="2307"/>
      <c r="L80" s="2307"/>
      <c r="M80" s="2307"/>
      <c r="N80" s="2307"/>
      <c r="O80" s="2307"/>
      <c r="P80" s="2307"/>
      <c r="Q80" s="2307"/>
      <c r="R80" s="2307"/>
    </row>
    <row r="81" spans="1:18" ht="5.15" customHeight="1" x14ac:dyDescent="0.25">
      <c r="A81" s="2545"/>
      <c r="B81" s="2540"/>
      <c r="C81" s="2540"/>
      <c r="D81" s="2542"/>
      <c r="E81" s="2542"/>
      <c r="F81" s="2543"/>
      <c r="G81" s="2544"/>
      <c r="H81" s="2544"/>
      <c r="I81" s="2542"/>
      <c r="J81" s="2543"/>
      <c r="K81" s="2309"/>
      <c r="L81" s="2309"/>
      <c r="M81" s="2309"/>
      <c r="N81" s="2309"/>
      <c r="O81" s="2309"/>
      <c r="P81" s="2309"/>
      <c r="Q81" s="2309"/>
      <c r="R81" s="2309"/>
    </row>
    <row r="82" spans="1:18" ht="12.75" customHeight="1" x14ac:dyDescent="0.25">
      <c r="A82" s="2534" t="s">
        <v>2149</v>
      </c>
      <c r="B82" s="2540"/>
      <c r="C82" s="2541"/>
      <c r="D82" s="2542"/>
      <c r="E82" s="2542"/>
      <c r="F82" s="2543"/>
      <c r="G82" s="2544"/>
      <c r="H82" s="2544"/>
      <c r="I82" s="2542"/>
      <c r="J82" s="2543"/>
      <c r="K82" s="2310"/>
      <c r="L82" s="2310"/>
      <c r="M82" s="2310"/>
      <c r="N82" s="2310"/>
      <c r="O82" s="2310"/>
      <c r="P82" s="2310"/>
      <c r="Q82" s="2310"/>
      <c r="R82" s="2310"/>
    </row>
    <row r="83" spans="1:18" ht="12.75" customHeight="1" x14ac:dyDescent="0.25">
      <c r="A83" s="2545" t="s">
        <v>2125</v>
      </c>
      <c r="B83" s="2540"/>
      <c r="C83" s="2541"/>
      <c r="D83" s="2542"/>
      <c r="E83" s="2542"/>
      <c r="F83" s="2543"/>
      <c r="G83" s="2544"/>
      <c r="H83" s="2544"/>
      <c r="I83" s="2542"/>
      <c r="J83" s="2543"/>
      <c r="K83" s="2309"/>
      <c r="L83" s="2309"/>
      <c r="M83" s="2309"/>
      <c r="N83" s="2309"/>
      <c r="O83" s="2309"/>
      <c r="P83" s="2309"/>
      <c r="Q83" s="2309"/>
      <c r="R83" s="2309"/>
    </row>
    <row r="84" spans="1:18" ht="12.75" customHeight="1" x14ac:dyDescent="0.25">
      <c r="A84" s="2539" t="s">
        <v>2150</v>
      </c>
      <c r="B84" s="2540"/>
      <c r="C84" s="2600"/>
      <c r="D84" s="2600"/>
      <c r="E84" s="2600"/>
      <c r="F84" s="2601"/>
      <c r="G84" s="2602"/>
      <c r="H84" s="2602"/>
      <c r="I84" s="2600"/>
      <c r="J84" s="2601"/>
      <c r="K84" s="2309"/>
      <c r="L84" s="2309"/>
      <c r="M84" s="2309"/>
      <c r="N84" s="2309"/>
      <c r="O84" s="2309"/>
      <c r="P84" s="2309"/>
      <c r="Q84" s="2309"/>
      <c r="R84" s="2309"/>
    </row>
    <row r="85" spans="1:18" ht="12.75" customHeight="1" x14ac:dyDescent="0.25">
      <c r="A85" s="2539" t="s">
        <v>2151</v>
      </c>
      <c r="B85" s="2540"/>
      <c r="C85" s="2600" t="s">
        <v>2365</v>
      </c>
      <c r="D85" s="2600"/>
      <c r="E85" s="2600"/>
      <c r="F85" s="2601"/>
      <c r="G85" s="2602"/>
      <c r="H85" s="2602"/>
      <c r="I85" s="2600"/>
      <c r="J85" s="2601"/>
      <c r="K85" s="2309"/>
      <c r="L85" s="2309"/>
      <c r="M85" s="2309"/>
      <c r="N85" s="2309"/>
      <c r="O85" s="2309"/>
      <c r="P85" s="2309"/>
      <c r="Q85" s="2309"/>
      <c r="R85" s="2309"/>
    </row>
    <row r="86" spans="1:18" ht="12.75" customHeight="1" x14ac:dyDescent="0.25">
      <c r="A86" s="2539" t="s">
        <v>2152</v>
      </c>
      <c r="B86" s="2540"/>
      <c r="C86" s="2600"/>
      <c r="D86" s="2600"/>
      <c r="E86" s="2600"/>
      <c r="F86" s="2601"/>
      <c r="G86" s="2602"/>
      <c r="H86" s="2602"/>
      <c r="I86" s="2600"/>
      <c r="J86" s="2601"/>
      <c r="K86" s="2309"/>
      <c r="L86" s="2309"/>
      <c r="M86" s="2309"/>
      <c r="N86" s="2309"/>
      <c r="O86" s="2309"/>
      <c r="P86" s="2309"/>
      <c r="Q86" s="2309"/>
      <c r="R86" s="2309"/>
    </row>
    <row r="87" spans="1:18" ht="12.75" customHeight="1" x14ac:dyDescent="0.25">
      <c r="A87" s="2539" t="s">
        <v>2153</v>
      </c>
      <c r="B87" s="2540"/>
      <c r="C87" s="2600"/>
      <c r="D87" s="2600"/>
      <c r="E87" s="2600"/>
      <c r="F87" s="2601"/>
      <c r="G87" s="2602"/>
      <c r="H87" s="2602"/>
      <c r="I87" s="2600"/>
      <c r="J87" s="2601"/>
      <c r="K87" s="2309"/>
      <c r="L87" s="2309"/>
      <c r="M87" s="2309"/>
      <c r="N87" s="2309"/>
      <c r="O87" s="2309"/>
      <c r="P87" s="2309"/>
      <c r="Q87" s="2309"/>
      <c r="R87" s="2309"/>
    </row>
    <row r="88" spans="1:18" ht="5.15" customHeight="1" x14ac:dyDescent="0.25">
      <c r="A88" s="2553"/>
      <c r="B88" s="2554"/>
      <c r="C88" s="2554"/>
      <c r="D88" s="2555"/>
      <c r="E88" s="2555"/>
      <c r="F88" s="2556"/>
      <c r="G88" s="2557"/>
      <c r="H88" s="2557"/>
      <c r="I88" s="2555"/>
      <c r="J88" s="2556"/>
      <c r="K88" s="2309"/>
      <c r="L88" s="2309"/>
      <c r="M88" s="2309"/>
      <c r="N88" s="2309"/>
      <c r="O88" s="2309"/>
      <c r="P88" s="2309"/>
      <c r="Q88" s="2309"/>
      <c r="R88" s="2309"/>
    </row>
    <row r="89" spans="1:18" ht="11.25" customHeight="1" x14ac:dyDescent="0.25">
      <c r="A89" s="1157" t="str">
        <f>head27a</f>
        <v>References</v>
      </c>
      <c r="B89" s="704"/>
      <c r="C89" s="704"/>
      <c r="D89" s="705"/>
      <c r="E89" s="705"/>
      <c r="F89" s="705"/>
      <c r="G89" s="706"/>
      <c r="H89" s="705"/>
      <c r="I89" s="705"/>
      <c r="J89" s="707"/>
      <c r="K89" s="603"/>
      <c r="L89" s="603"/>
      <c r="M89" s="603"/>
      <c r="N89" s="603"/>
      <c r="O89" s="603"/>
      <c r="P89" s="603"/>
      <c r="Q89" s="603"/>
      <c r="R89" s="603"/>
    </row>
    <row r="90" spans="1:18" ht="11.25" customHeight="1" x14ac:dyDescent="0.25">
      <c r="A90" s="1417" t="s">
        <v>2275</v>
      </c>
      <c r="B90" s="2558"/>
      <c r="C90" s="2558"/>
      <c r="D90" s="1415"/>
      <c r="E90" s="1415"/>
      <c r="F90" s="1415"/>
      <c r="G90" s="1415"/>
      <c r="H90" s="1415"/>
      <c r="I90" s="1415"/>
      <c r="J90" s="1415"/>
      <c r="K90" s="2311"/>
      <c r="L90" s="2311"/>
      <c r="M90" s="2311"/>
      <c r="N90" s="2311"/>
      <c r="O90" s="2311"/>
      <c r="P90" s="2311"/>
      <c r="Q90" s="2311"/>
      <c r="R90" s="2311"/>
    </row>
    <row r="91" spans="1:18" ht="11.25" customHeight="1" x14ac:dyDescent="0.25">
      <c r="A91" s="1417" t="s">
        <v>2281</v>
      </c>
      <c r="B91" s="2558"/>
      <c r="C91" s="2558"/>
      <c r="D91" s="1415"/>
      <c r="E91" s="1415"/>
      <c r="F91" s="1415"/>
      <c r="G91" s="1415"/>
      <c r="H91" s="1415"/>
      <c r="I91" s="1415"/>
      <c r="J91" s="1415"/>
      <c r="K91" s="2311"/>
      <c r="L91" s="2311"/>
      <c r="M91" s="2311"/>
      <c r="N91" s="2311"/>
      <c r="O91" s="2311"/>
      <c r="P91" s="2311"/>
      <c r="Q91" s="2311"/>
      <c r="R91" s="2311"/>
    </row>
    <row r="92" spans="1:18" ht="11.25" customHeight="1" x14ac:dyDescent="0.25">
      <c r="A92" s="2559"/>
      <c r="B92" s="2560"/>
      <c r="C92" s="2561"/>
      <c r="D92" s="2561"/>
      <c r="E92" s="2561"/>
      <c r="F92" s="2561"/>
      <c r="G92" s="2561"/>
      <c r="H92" s="2561"/>
      <c r="I92" s="2561"/>
      <c r="J92" s="2561"/>
      <c r="K92" s="2311"/>
      <c r="L92" s="2311"/>
      <c r="M92" s="2311"/>
      <c r="N92" s="2311"/>
      <c r="O92" s="2311"/>
      <c r="P92" s="2311"/>
      <c r="Q92" s="2311"/>
      <c r="R92" s="2311"/>
    </row>
    <row r="93" spans="1:18" ht="11.25" customHeight="1" x14ac:dyDescent="0.25">
      <c r="A93" s="2299"/>
      <c r="C93" s="2311"/>
      <c r="D93" s="2311"/>
      <c r="E93" s="2311"/>
      <c r="F93" s="2311"/>
      <c r="G93" s="2311"/>
      <c r="H93" s="2311"/>
      <c r="I93" s="2311"/>
      <c r="J93" s="2311"/>
      <c r="K93" s="2311"/>
      <c r="L93" s="2311"/>
      <c r="M93" s="2311"/>
      <c r="N93" s="2311"/>
      <c r="O93" s="2311"/>
      <c r="P93" s="2311"/>
      <c r="Q93" s="2311"/>
      <c r="R93" s="2311"/>
    </row>
    <row r="94" spans="1:18" ht="21" customHeight="1" x14ac:dyDescent="0.25">
      <c r="A94" s="2576"/>
      <c r="B94" s="2309"/>
      <c r="C94" s="2577"/>
      <c r="D94" s="2577"/>
      <c r="E94" s="2577"/>
      <c r="F94" s="2577"/>
      <c r="G94" s="2577"/>
      <c r="H94" s="2577"/>
      <c r="I94" s="2577"/>
      <c r="J94" s="2577"/>
      <c r="K94" s="2577"/>
      <c r="L94" s="2311"/>
      <c r="M94" s="2311"/>
      <c r="N94" s="2311"/>
      <c r="O94" s="2311"/>
      <c r="P94" s="2311"/>
      <c r="Q94" s="2311"/>
      <c r="R94" s="2311"/>
    </row>
    <row r="95" spans="1:18" ht="22.5" customHeight="1" x14ac:dyDescent="0.25">
      <c r="A95" s="2739"/>
      <c r="B95" s="2739"/>
      <c r="C95" s="2738"/>
      <c r="D95" s="2738"/>
      <c r="E95" s="2738"/>
      <c r="F95" s="2738"/>
      <c r="G95" s="2738"/>
      <c r="H95" s="2579"/>
      <c r="I95" s="2579"/>
      <c r="J95" s="2579"/>
      <c r="K95" s="2577"/>
      <c r="L95" s="2311"/>
      <c r="M95" s="2311"/>
      <c r="N95" s="2311"/>
      <c r="O95" s="2311"/>
      <c r="P95" s="2311"/>
      <c r="Q95" s="2311"/>
      <c r="R95" s="2311"/>
    </row>
    <row r="96" spans="1:18" ht="36.75" customHeight="1" x14ac:dyDescent="0.25">
      <c r="A96" s="2739"/>
      <c r="B96" s="2739"/>
      <c r="C96" s="2738"/>
      <c r="D96" s="2738"/>
      <c r="E96" s="2738"/>
      <c r="F96" s="2738"/>
      <c r="G96" s="2738"/>
      <c r="H96" s="2578"/>
      <c r="I96" s="2578"/>
      <c r="J96" s="2578"/>
      <c r="K96" s="2580"/>
      <c r="L96" s="2301"/>
      <c r="M96" s="2301"/>
      <c r="N96" s="2301"/>
      <c r="O96" s="2301"/>
      <c r="P96" s="2301"/>
      <c r="Q96" s="2301"/>
      <c r="R96" s="2301"/>
    </row>
    <row r="97" spans="1:18" ht="21.75" customHeight="1" x14ac:dyDescent="0.25">
      <c r="A97" s="2574"/>
      <c r="B97" s="2570"/>
      <c r="C97" s="2581"/>
      <c r="D97" s="2581"/>
      <c r="E97" s="2581"/>
      <c r="F97" s="2581"/>
      <c r="G97" s="2581"/>
      <c r="H97" s="2581"/>
      <c r="I97" s="2581"/>
      <c r="J97" s="2581"/>
      <c r="K97" s="2582"/>
      <c r="L97" s="2312"/>
      <c r="M97" s="2312"/>
      <c r="N97" s="2312"/>
      <c r="O97" s="2312"/>
      <c r="P97" s="2312"/>
      <c r="Q97" s="2312"/>
      <c r="R97" s="2312"/>
    </row>
    <row r="98" spans="1:18" ht="11.5" customHeight="1" x14ac:dyDescent="0.25">
      <c r="A98" s="2575"/>
      <c r="B98" s="2570"/>
      <c r="C98" s="2581"/>
      <c r="D98" s="2581"/>
      <c r="E98" s="2581"/>
      <c r="F98" s="2581"/>
      <c r="G98" s="2581"/>
      <c r="H98" s="2581"/>
      <c r="I98" s="2581"/>
      <c r="J98" s="2581"/>
      <c r="K98" s="2582"/>
      <c r="L98" s="2312"/>
      <c r="M98" s="2312"/>
      <c r="N98" s="2312"/>
      <c r="O98" s="2312"/>
      <c r="P98" s="2312"/>
      <c r="Q98" s="2312"/>
      <c r="R98" s="2312"/>
    </row>
    <row r="99" spans="1:18" ht="11.5" customHeight="1" x14ac:dyDescent="0.25">
      <c r="A99" s="2575"/>
      <c r="B99" s="2570"/>
      <c r="C99" s="2581"/>
      <c r="D99" s="2581"/>
      <c r="E99" s="2581"/>
      <c r="F99" s="2581"/>
      <c r="G99" s="2581"/>
      <c r="H99" s="2581"/>
      <c r="I99" s="2581"/>
      <c r="J99" s="2581"/>
      <c r="K99" s="2582"/>
      <c r="L99" s="2312"/>
      <c r="M99" s="2312"/>
      <c r="N99" s="2312"/>
      <c r="O99" s="2312"/>
      <c r="P99" s="2312"/>
      <c r="Q99" s="2312"/>
      <c r="R99" s="2312"/>
    </row>
    <row r="100" spans="1:18" ht="11.5" customHeight="1" x14ac:dyDescent="0.25">
      <c r="A100" s="2575"/>
      <c r="B100" s="2570"/>
      <c r="C100" s="2581"/>
      <c r="D100" s="2581"/>
      <c r="E100" s="2581"/>
      <c r="F100" s="2581"/>
      <c r="G100" s="2581"/>
      <c r="H100" s="2581"/>
      <c r="I100" s="2581"/>
      <c r="J100" s="2581"/>
      <c r="K100" s="2582"/>
      <c r="L100" s="2312"/>
      <c r="M100" s="2312"/>
      <c r="N100" s="2312"/>
      <c r="O100" s="2312"/>
      <c r="P100" s="2312"/>
      <c r="Q100" s="2312"/>
      <c r="R100" s="2312"/>
    </row>
    <row r="101" spans="1:18" ht="21" customHeight="1" x14ac:dyDescent="0.25">
      <c r="A101" s="2574"/>
      <c r="B101" s="2570"/>
      <c r="C101" s="2581"/>
      <c r="D101" s="2581"/>
      <c r="E101" s="2581"/>
      <c r="F101" s="2581"/>
      <c r="G101" s="2581"/>
      <c r="H101" s="2581"/>
      <c r="I101" s="2581"/>
      <c r="J101" s="2581"/>
      <c r="K101" s="2582"/>
      <c r="L101" s="2312"/>
      <c r="M101" s="2312"/>
      <c r="N101" s="2312"/>
      <c r="O101" s="2312"/>
      <c r="P101" s="2312"/>
      <c r="Q101" s="2312"/>
      <c r="R101" s="2312"/>
    </row>
    <row r="102" spans="1:18" ht="11.5" customHeight="1" x14ac:dyDescent="0.25">
      <c r="A102" s="2575"/>
      <c r="B102" s="2570"/>
      <c r="C102" s="2581"/>
      <c r="D102" s="2581"/>
      <c r="E102" s="2581"/>
      <c r="F102" s="2581"/>
      <c r="G102" s="2581"/>
      <c r="H102" s="2581"/>
      <c r="I102" s="2581"/>
      <c r="J102" s="2581"/>
      <c r="K102" s="2582"/>
      <c r="L102" s="2312"/>
      <c r="M102" s="2312"/>
      <c r="N102" s="2312"/>
      <c r="O102" s="2312"/>
      <c r="P102" s="2312"/>
      <c r="Q102" s="2312"/>
      <c r="R102" s="2312"/>
    </row>
    <row r="103" spans="1:18" ht="11.5" customHeight="1" x14ac:dyDescent="0.25">
      <c r="A103" s="2575"/>
      <c r="B103" s="2570"/>
      <c r="C103" s="2581"/>
      <c r="D103" s="2581"/>
      <c r="E103" s="2581"/>
      <c r="F103" s="2581"/>
      <c r="G103" s="2581"/>
      <c r="H103" s="2581"/>
      <c r="I103" s="2581"/>
      <c r="J103" s="2581"/>
      <c r="K103" s="2582"/>
      <c r="L103" s="2312"/>
      <c r="M103" s="2312"/>
      <c r="N103" s="2312"/>
      <c r="O103" s="2312"/>
      <c r="P103" s="2312"/>
      <c r="Q103" s="2312"/>
      <c r="R103" s="2312"/>
    </row>
    <row r="104" spans="1:18" ht="11.5" customHeight="1" x14ac:dyDescent="0.25">
      <c r="A104" s="2575"/>
      <c r="B104" s="2570"/>
      <c r="C104" s="2581"/>
      <c r="D104" s="2581"/>
      <c r="E104" s="2581"/>
      <c r="F104" s="2581"/>
      <c r="G104" s="2581"/>
      <c r="H104" s="2581"/>
      <c r="I104" s="2581"/>
      <c r="J104" s="2581"/>
      <c r="K104" s="2582"/>
      <c r="L104" s="2312"/>
      <c r="M104" s="2312"/>
      <c r="N104" s="2312"/>
      <c r="O104" s="2312"/>
      <c r="P104" s="2312"/>
      <c r="Q104" s="2312"/>
      <c r="R104" s="2312"/>
    </row>
    <row r="105" spans="1:18" ht="11.5" customHeight="1" x14ac:dyDescent="0.25">
      <c r="A105" s="2575"/>
      <c r="B105" s="2570"/>
      <c r="C105" s="2581"/>
      <c r="D105" s="2581"/>
      <c r="E105" s="2581"/>
      <c r="F105" s="2581"/>
      <c r="G105" s="2581"/>
      <c r="H105" s="2581"/>
      <c r="I105" s="2581"/>
      <c r="J105" s="2581"/>
      <c r="K105" s="2582"/>
      <c r="L105" s="2312"/>
      <c r="M105" s="2312"/>
      <c r="N105" s="2312"/>
      <c r="O105" s="2312"/>
      <c r="P105" s="2312"/>
      <c r="Q105" s="2312"/>
      <c r="R105" s="2312"/>
    </row>
    <row r="106" spans="1:18" ht="21" customHeight="1" x14ac:dyDescent="0.25">
      <c r="A106" s="2574"/>
      <c r="B106" s="2570"/>
      <c r="C106" s="2581"/>
      <c r="D106" s="2581"/>
      <c r="E106" s="2581"/>
      <c r="F106" s="2581"/>
      <c r="G106" s="2581"/>
      <c r="H106" s="2581"/>
      <c r="I106" s="2581"/>
      <c r="J106" s="2581"/>
      <c r="K106" s="2582"/>
      <c r="L106" s="2312"/>
      <c r="M106" s="2312"/>
      <c r="N106" s="2312"/>
      <c r="O106" s="2312"/>
      <c r="P106" s="2312"/>
      <c r="Q106" s="2312"/>
      <c r="R106" s="2312"/>
    </row>
    <row r="107" spans="1:18" ht="11.5" customHeight="1" x14ac:dyDescent="0.25">
      <c r="A107" s="2575"/>
      <c r="B107" s="2570"/>
      <c r="C107" s="2581"/>
      <c r="D107" s="2581"/>
      <c r="E107" s="2581"/>
      <c r="F107" s="2581"/>
      <c r="G107" s="2581"/>
      <c r="H107" s="2581"/>
      <c r="I107" s="2581"/>
      <c r="J107" s="2581"/>
      <c r="K107" s="2582"/>
      <c r="L107" s="2312"/>
      <c r="M107" s="2312"/>
      <c r="N107" s="2312"/>
      <c r="O107" s="2312"/>
      <c r="P107" s="2312"/>
      <c r="Q107" s="2312"/>
      <c r="R107" s="2312"/>
    </row>
    <row r="108" spans="1:18" ht="11.5" customHeight="1" x14ac:dyDescent="0.25">
      <c r="A108" s="2575"/>
      <c r="B108" s="2570"/>
      <c r="C108" s="2581"/>
      <c r="D108" s="2581"/>
      <c r="E108" s="2581"/>
      <c r="F108" s="2581"/>
      <c r="G108" s="2581"/>
      <c r="H108" s="2581"/>
      <c r="I108" s="2581"/>
      <c r="J108" s="2581"/>
      <c r="K108" s="2582"/>
      <c r="L108" s="2312"/>
      <c r="M108" s="2312"/>
      <c r="N108" s="2312"/>
      <c r="O108" s="2312"/>
      <c r="P108" s="2312"/>
      <c r="Q108" s="2312"/>
      <c r="R108" s="2312"/>
    </row>
    <row r="109" spans="1:18" ht="11.5" customHeight="1" x14ac:dyDescent="0.25">
      <c r="A109" s="2575"/>
      <c r="B109" s="2570"/>
      <c r="C109" s="2581"/>
      <c r="D109" s="2581"/>
      <c r="E109" s="2581"/>
      <c r="F109" s="2581"/>
      <c r="G109" s="2581"/>
      <c r="H109" s="2581"/>
      <c r="I109" s="2581"/>
      <c r="J109" s="2581"/>
      <c r="K109" s="2582"/>
      <c r="L109" s="2312"/>
      <c r="M109" s="2312"/>
      <c r="N109" s="2312"/>
      <c r="O109" s="2312"/>
      <c r="P109" s="2312"/>
      <c r="Q109" s="2312"/>
      <c r="R109" s="2312"/>
    </row>
    <row r="110" spans="1:18" ht="21" customHeight="1" x14ac:dyDescent="0.25">
      <c r="A110" s="2574"/>
      <c r="B110" s="2570"/>
      <c r="C110" s="2581"/>
      <c r="D110" s="2581"/>
      <c r="E110" s="2581"/>
      <c r="F110" s="2581"/>
      <c r="G110" s="2581"/>
      <c r="H110" s="2581"/>
      <c r="I110" s="2581"/>
      <c r="J110" s="2581"/>
      <c r="K110" s="2583"/>
      <c r="L110" s="2314"/>
      <c r="M110" s="2314"/>
      <c r="N110" s="2314"/>
      <c r="O110" s="2314"/>
      <c r="P110" s="2314"/>
      <c r="Q110" s="2314"/>
      <c r="R110" s="2314"/>
    </row>
    <row r="111" spans="1:18" ht="11.5" customHeight="1" x14ac:dyDescent="0.25">
      <c r="A111" s="2575"/>
      <c r="B111" s="2570"/>
      <c r="C111" s="2581"/>
      <c r="D111" s="2581"/>
      <c r="E111" s="2581"/>
      <c r="F111" s="2581"/>
      <c r="G111" s="2581"/>
      <c r="H111" s="2581"/>
      <c r="I111" s="2581"/>
      <c r="J111" s="2581"/>
      <c r="K111" s="2583"/>
      <c r="L111" s="2314"/>
      <c r="M111" s="2314"/>
      <c r="N111" s="2314"/>
      <c r="O111" s="2314"/>
      <c r="P111" s="2314"/>
      <c r="Q111" s="2314"/>
      <c r="R111" s="2314"/>
    </row>
    <row r="112" spans="1:18" ht="11.5" customHeight="1" x14ac:dyDescent="0.25">
      <c r="A112" s="2575"/>
      <c r="B112" s="2570"/>
      <c r="C112" s="2581"/>
      <c r="D112" s="2581"/>
      <c r="E112" s="2581"/>
      <c r="F112" s="2581"/>
      <c r="G112" s="2581"/>
      <c r="H112" s="2581"/>
      <c r="I112" s="2581"/>
      <c r="J112" s="2581"/>
      <c r="K112" s="2583"/>
      <c r="L112" s="2314"/>
      <c r="M112" s="2314"/>
      <c r="N112" s="2314"/>
      <c r="O112" s="2314"/>
      <c r="P112" s="2314"/>
      <c r="Q112" s="2314"/>
      <c r="R112" s="2314"/>
    </row>
    <row r="113" spans="1:18" ht="11.5" customHeight="1" x14ac:dyDescent="0.25">
      <c r="A113" s="2575"/>
      <c r="B113" s="2570"/>
      <c r="C113" s="2581"/>
      <c r="D113" s="2581"/>
      <c r="E113" s="2581"/>
      <c r="F113" s="2581"/>
      <c r="G113" s="2581"/>
      <c r="H113" s="2581"/>
      <c r="I113" s="2581"/>
      <c r="J113" s="2581"/>
      <c r="K113" s="2583"/>
      <c r="L113" s="2314"/>
      <c r="M113" s="2314"/>
      <c r="N113" s="2314"/>
      <c r="O113" s="2314"/>
      <c r="P113" s="2314"/>
      <c r="Q113" s="2314"/>
      <c r="R113" s="2314"/>
    </row>
    <row r="114" spans="1:18" ht="5.25" customHeight="1" x14ac:dyDescent="0.25">
      <c r="A114" s="2572"/>
      <c r="B114" s="2570"/>
      <c r="C114" s="2581"/>
      <c r="D114" s="2581"/>
      <c r="E114" s="2581"/>
      <c r="F114" s="2581"/>
      <c r="G114" s="2581"/>
      <c r="H114" s="2581"/>
      <c r="I114" s="2581"/>
      <c r="J114" s="2581"/>
      <c r="K114" s="2304"/>
      <c r="L114" s="2302"/>
      <c r="M114" s="2302"/>
      <c r="N114" s="2302"/>
      <c r="O114" s="2302"/>
      <c r="P114" s="2302"/>
      <c r="Q114" s="2302"/>
      <c r="R114" s="2302"/>
    </row>
    <row r="115" spans="1:18" ht="11.25" customHeight="1" x14ac:dyDescent="0.25">
      <c r="A115" s="2299"/>
      <c r="B115" s="2313"/>
      <c r="C115" s="2583"/>
      <c r="D115" s="2583"/>
      <c r="E115" s="2583"/>
      <c r="F115" s="2583"/>
      <c r="G115" s="2583"/>
      <c r="H115" s="2583"/>
      <c r="I115" s="2583"/>
      <c r="J115" s="2583"/>
      <c r="K115" s="2577"/>
      <c r="L115" s="2315"/>
      <c r="M115" s="2315"/>
      <c r="N115" s="2315"/>
      <c r="O115" s="2315"/>
      <c r="P115" s="2315"/>
      <c r="Q115" s="2315"/>
      <c r="R115" s="2315"/>
    </row>
    <row r="116" spans="1:18" ht="11.25" customHeight="1" x14ac:dyDescent="0.25">
      <c r="A116" s="2306"/>
      <c r="B116" s="2313"/>
      <c r="C116" s="2304"/>
      <c r="D116" s="2304"/>
      <c r="E116" s="2304"/>
      <c r="F116" s="2304"/>
      <c r="G116" s="2304"/>
      <c r="H116" s="2304"/>
      <c r="I116" s="2304"/>
      <c r="J116" s="2304"/>
      <c r="K116" s="2582"/>
      <c r="L116" s="1332"/>
      <c r="M116" s="1332"/>
      <c r="N116" s="1332"/>
      <c r="O116" s="1332"/>
      <c r="P116" s="1332"/>
      <c r="Q116" s="1332"/>
      <c r="R116" s="1332"/>
    </row>
    <row r="117" spans="1:18" ht="11.25" customHeight="1" x14ac:dyDescent="0.25">
      <c r="A117" s="2299"/>
      <c r="B117" s="2303"/>
      <c r="C117" s="2577"/>
      <c r="D117" s="2577"/>
      <c r="E117" s="2577"/>
      <c r="F117" s="2577"/>
      <c r="G117" s="2577"/>
      <c r="H117" s="2577"/>
      <c r="I117" s="2577"/>
      <c r="J117" s="2577"/>
      <c r="K117" s="2582"/>
      <c r="L117" s="1332"/>
      <c r="M117" s="1332"/>
      <c r="N117" s="1332"/>
      <c r="O117" s="1332"/>
      <c r="P117" s="1332"/>
      <c r="Q117" s="1332"/>
      <c r="R117" s="1332"/>
    </row>
    <row r="118" spans="1:18" ht="11.25" customHeight="1" x14ac:dyDescent="0.25">
      <c r="A118" s="2299"/>
      <c r="B118" s="2303"/>
      <c r="C118" s="2582"/>
      <c r="D118" s="2582"/>
      <c r="E118" s="2582"/>
      <c r="F118" s="2582"/>
      <c r="G118" s="2582"/>
      <c r="H118" s="2582"/>
      <c r="I118" s="2582"/>
      <c r="J118" s="2582"/>
      <c r="K118" s="2584"/>
      <c r="L118" s="2316"/>
      <c r="M118" s="2316"/>
      <c r="N118" s="2316"/>
      <c r="O118" s="2316"/>
      <c r="P118" s="2316"/>
      <c r="Q118" s="2316"/>
      <c r="R118" s="2316"/>
    </row>
    <row r="119" spans="1:18" ht="11.25" customHeight="1" x14ac:dyDescent="0.25">
      <c r="A119" s="2299"/>
      <c r="B119" s="2303"/>
      <c r="C119" s="1332"/>
      <c r="D119" s="1332"/>
      <c r="E119" s="1332"/>
      <c r="F119" s="1332"/>
      <c r="G119" s="1332"/>
      <c r="H119" s="1332"/>
      <c r="I119" s="1332"/>
      <c r="J119" s="1332"/>
      <c r="K119" s="2317"/>
      <c r="L119" s="2317"/>
      <c r="M119" s="2317"/>
      <c r="N119" s="2317"/>
      <c r="O119" s="2317"/>
      <c r="P119" s="2317"/>
      <c r="Q119" s="2317"/>
      <c r="R119" s="2317"/>
    </row>
    <row r="120" spans="1:18" ht="11.25" customHeight="1" x14ac:dyDescent="0.25">
      <c r="A120" s="2299"/>
      <c r="B120" s="2303"/>
      <c r="C120" s="2316"/>
      <c r="D120" s="2316"/>
      <c r="E120" s="2316"/>
      <c r="F120" s="2316"/>
      <c r="G120" s="2316"/>
      <c r="H120" s="2316"/>
      <c r="I120" s="2316"/>
      <c r="J120" s="2316"/>
      <c r="K120" s="2317"/>
      <c r="L120" s="2317"/>
      <c r="M120" s="2317"/>
      <c r="N120" s="2317"/>
      <c r="O120" s="2317"/>
      <c r="P120" s="2317"/>
      <c r="Q120" s="2317"/>
      <c r="R120" s="2317"/>
    </row>
    <row r="121" spans="1:18" ht="11.25" customHeight="1" x14ac:dyDescent="0.25">
      <c r="A121" s="2299"/>
      <c r="B121" s="2303"/>
      <c r="C121" s="2317"/>
      <c r="D121" s="2317"/>
      <c r="E121" s="2317"/>
      <c r="F121" s="2317"/>
      <c r="G121" s="2317"/>
      <c r="H121" s="2317"/>
      <c r="I121" s="2317"/>
      <c r="J121" s="2317"/>
      <c r="K121" s="2317"/>
      <c r="L121" s="2317"/>
      <c r="M121" s="2317"/>
      <c r="N121" s="2317"/>
      <c r="O121" s="2317"/>
      <c r="P121" s="2317"/>
      <c r="Q121" s="2317"/>
      <c r="R121" s="2317"/>
    </row>
    <row r="122" spans="1:18" ht="11.25" customHeight="1" x14ac:dyDescent="0.25">
      <c r="A122" s="2299"/>
      <c r="B122" s="2303"/>
      <c r="C122" s="2317"/>
      <c r="D122" s="2317"/>
      <c r="E122" s="2317"/>
      <c r="F122" s="2317"/>
      <c r="G122" s="2317"/>
      <c r="H122" s="2317"/>
      <c r="I122" s="2317"/>
      <c r="J122" s="2317"/>
      <c r="K122" s="2317"/>
      <c r="L122" s="2317"/>
      <c r="M122" s="2317"/>
      <c r="N122" s="2317"/>
      <c r="O122" s="2317"/>
      <c r="P122" s="2317"/>
      <c r="Q122" s="2317"/>
      <c r="R122" s="2317"/>
    </row>
    <row r="123" spans="1:18" ht="11.25" customHeight="1" x14ac:dyDescent="0.25">
      <c r="A123" s="2299"/>
      <c r="B123" s="2303"/>
      <c r="C123" s="2317"/>
      <c r="D123" s="2317"/>
      <c r="E123" s="2317"/>
      <c r="F123" s="2317"/>
      <c r="G123" s="2317"/>
      <c r="H123" s="2317"/>
      <c r="I123" s="2317"/>
      <c r="J123" s="2317"/>
      <c r="K123" s="2317"/>
      <c r="L123" s="2317"/>
      <c r="M123" s="2317"/>
      <c r="N123" s="2317"/>
      <c r="O123" s="2317"/>
      <c r="P123" s="2317"/>
      <c r="Q123" s="2317"/>
      <c r="R123" s="2317"/>
    </row>
    <row r="124" spans="1:18" ht="11.25" customHeight="1" x14ac:dyDescent="0.25">
      <c r="A124" s="2299"/>
      <c r="B124" s="2303"/>
      <c r="C124" s="2317"/>
      <c r="D124" s="2317"/>
      <c r="E124" s="2317"/>
      <c r="F124" s="2317"/>
      <c r="G124" s="2317"/>
      <c r="H124" s="2317"/>
      <c r="I124" s="2317"/>
      <c r="J124" s="2317"/>
      <c r="K124" s="2317"/>
      <c r="L124" s="2317"/>
      <c r="M124" s="2317"/>
      <c r="N124" s="2317"/>
      <c r="O124" s="2317"/>
      <c r="P124" s="2317"/>
      <c r="Q124" s="2317"/>
      <c r="R124" s="2317"/>
    </row>
    <row r="125" spans="1:18" ht="11.25" customHeight="1" x14ac:dyDescent="0.25">
      <c r="A125" s="2299"/>
      <c r="B125" s="2303"/>
      <c r="C125" s="2317"/>
      <c r="D125" s="2317"/>
      <c r="E125" s="2317"/>
      <c r="F125" s="2317"/>
      <c r="G125" s="2317"/>
      <c r="H125" s="2317"/>
      <c r="I125" s="2317"/>
      <c r="J125" s="2317"/>
      <c r="K125" s="261"/>
      <c r="L125" s="261"/>
      <c r="M125" s="261"/>
      <c r="N125" s="261"/>
      <c r="O125" s="261"/>
      <c r="P125" s="261"/>
      <c r="Q125" s="261"/>
      <c r="R125" s="261"/>
    </row>
    <row r="126" spans="1:18" ht="5.15" customHeight="1" x14ac:dyDescent="0.25">
      <c r="A126" s="2299"/>
      <c r="B126" s="2303"/>
      <c r="C126" s="2317"/>
      <c r="D126" s="2317"/>
      <c r="E126" s="2317"/>
      <c r="F126" s="2317"/>
      <c r="G126" s="2317"/>
      <c r="H126" s="2317"/>
      <c r="I126" s="2317"/>
      <c r="J126" s="2317"/>
      <c r="K126" s="363"/>
      <c r="L126" s="363"/>
      <c r="M126" s="363"/>
      <c r="N126" s="363"/>
      <c r="O126" s="363"/>
      <c r="P126" s="363"/>
      <c r="Q126" s="363"/>
      <c r="R126" s="363"/>
    </row>
    <row r="127" spans="1:18" s="1062" customFormat="1" x14ac:dyDescent="0.25">
      <c r="A127" s="2304"/>
      <c r="B127" s="2303"/>
      <c r="C127" s="261"/>
      <c r="D127" s="261"/>
      <c r="E127" s="261"/>
      <c r="F127" s="261"/>
      <c r="G127" s="261"/>
      <c r="H127" s="261"/>
      <c r="I127" s="261"/>
      <c r="J127" s="261"/>
      <c r="K127" s="1040"/>
      <c r="L127" s="1040"/>
      <c r="M127" s="1040"/>
      <c r="N127" s="1040"/>
      <c r="O127" s="1040"/>
      <c r="P127" s="1040"/>
      <c r="Q127" s="1040"/>
      <c r="R127" s="1040"/>
    </row>
    <row r="128" spans="1:18" s="1062" customFormat="1" x14ac:dyDescent="0.25">
      <c r="A128" s="2305"/>
      <c r="B128" s="2300"/>
      <c r="C128" s="363"/>
      <c r="D128" s="363"/>
      <c r="E128" s="363"/>
      <c r="F128" s="363"/>
      <c r="G128" s="363"/>
      <c r="H128" s="363"/>
      <c r="I128" s="363"/>
      <c r="J128" s="363"/>
      <c r="K128" s="1040"/>
      <c r="L128" s="1040"/>
      <c r="M128" s="1040"/>
      <c r="N128" s="1040"/>
      <c r="O128" s="1040"/>
      <c r="P128" s="1040"/>
      <c r="Q128" s="1040"/>
      <c r="R128" s="1040"/>
    </row>
    <row r="129" spans="1:18" s="1062" customFormat="1" x14ac:dyDescent="0.25">
      <c r="A129" s="2318"/>
      <c r="B129" s="2309"/>
      <c r="C129" s="1040"/>
      <c r="D129" s="1040"/>
      <c r="E129" s="1040"/>
      <c r="F129" s="1040"/>
      <c r="G129" s="1040"/>
      <c r="H129" s="1040"/>
      <c r="I129" s="1040"/>
      <c r="J129" s="1040"/>
      <c r="K129" s="1040"/>
      <c r="L129" s="1040"/>
      <c r="M129" s="1040"/>
      <c r="N129" s="1040"/>
      <c r="O129" s="1040"/>
      <c r="P129" s="1040"/>
      <c r="Q129" s="1040"/>
      <c r="R129" s="1040"/>
    </row>
    <row r="130" spans="1:18" s="1062" customFormat="1" x14ac:dyDescent="0.25">
      <c r="A130" s="2319"/>
      <c r="B130" s="2309"/>
      <c r="C130" s="1040"/>
      <c r="D130" s="1040"/>
      <c r="E130" s="1040"/>
      <c r="F130" s="1040"/>
      <c r="G130" s="1040"/>
      <c r="H130" s="1040"/>
      <c r="I130" s="1040"/>
      <c r="J130" s="1040"/>
      <c r="K130" s="1040"/>
      <c r="L130" s="1040"/>
      <c r="M130" s="1040"/>
      <c r="N130" s="1040"/>
      <c r="O130" s="1040"/>
      <c r="P130" s="1040"/>
      <c r="Q130" s="1040"/>
      <c r="R130" s="1040"/>
    </row>
    <row r="131" spans="1:18" s="1062" customFormat="1" x14ac:dyDescent="0.25">
      <c r="A131" s="2319"/>
      <c r="B131" s="2309"/>
      <c r="C131" s="1040"/>
      <c r="D131" s="1040"/>
      <c r="E131" s="1040"/>
      <c r="F131" s="1040"/>
      <c r="G131" s="1040"/>
      <c r="H131" s="1040"/>
      <c r="I131" s="1040"/>
      <c r="J131" s="1040"/>
      <c r="K131" s="1040"/>
      <c r="L131" s="1040"/>
      <c r="M131" s="1040"/>
      <c r="N131" s="1040"/>
      <c r="O131" s="1040"/>
      <c r="P131" s="1040"/>
      <c r="Q131" s="1040"/>
      <c r="R131" s="1040"/>
    </row>
    <row r="132" spans="1:18" x14ac:dyDescent="0.25">
      <c r="A132" s="1515"/>
      <c r="B132" s="2309"/>
      <c r="C132" s="1040"/>
      <c r="D132" s="1040"/>
      <c r="E132" s="1040"/>
      <c r="F132" s="1040"/>
      <c r="G132" s="1040"/>
      <c r="H132" s="1040"/>
      <c r="I132" s="1040"/>
      <c r="J132" s="1040"/>
      <c r="K132" s="238"/>
      <c r="L132" s="238"/>
      <c r="M132" s="238"/>
      <c r="N132" s="238"/>
      <c r="O132" s="238"/>
      <c r="P132" s="238"/>
      <c r="Q132" s="238"/>
      <c r="R132" s="238"/>
    </row>
    <row r="133" spans="1:18" x14ac:dyDescent="0.25">
      <c r="A133" s="2319"/>
      <c r="B133" s="2309"/>
      <c r="C133" s="1040"/>
      <c r="D133" s="1040"/>
      <c r="E133" s="1040"/>
      <c r="F133" s="1040"/>
      <c r="G133" s="1040"/>
      <c r="H133" s="1040"/>
      <c r="I133" s="1040"/>
      <c r="J133" s="1040"/>
      <c r="K133" s="238"/>
      <c r="L133" s="238"/>
      <c r="M133" s="238"/>
      <c r="N133" s="238"/>
      <c r="O133" s="238"/>
      <c r="P133" s="238"/>
      <c r="Q133" s="238"/>
      <c r="R133" s="238"/>
    </row>
    <row r="134" spans="1:18" ht="11.25" customHeight="1" x14ac:dyDescent="0.25">
      <c r="A134" s="1158"/>
      <c r="C134" s="237"/>
      <c r="D134" s="237"/>
      <c r="E134" s="237"/>
      <c r="F134" s="237"/>
      <c r="G134" s="238"/>
      <c r="H134" s="238"/>
      <c r="I134" s="238"/>
      <c r="J134" s="238"/>
    </row>
    <row r="135" spans="1:18" ht="11.25" customHeight="1" x14ac:dyDescent="0.25">
      <c r="A135" s="1158"/>
      <c r="C135" s="237"/>
      <c r="D135" s="237"/>
      <c r="E135" s="237"/>
      <c r="F135" s="237"/>
      <c r="G135" s="238"/>
      <c r="H135" s="238"/>
      <c r="I135" s="238"/>
      <c r="J135" s="238"/>
    </row>
    <row r="136" spans="1:18" ht="11.25" customHeight="1" x14ac:dyDescent="0.25"/>
    <row r="137" spans="1:18" ht="11.25" customHeight="1" x14ac:dyDescent="0.25">
      <c r="B137" s="2305"/>
    </row>
    <row r="138" spans="1:18" ht="11.25" customHeight="1" x14ac:dyDescent="0.25">
      <c r="B138" s="2305"/>
    </row>
    <row r="139" spans="1:18" ht="11.25" customHeight="1" x14ac:dyDescent="0.25">
      <c r="B139" s="2305"/>
    </row>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sheetData>
  <sheetProtection password="C646" sheet="1" objects="1" scenarios="1"/>
  <mergeCells count="14">
    <mergeCell ref="G95:G96"/>
    <mergeCell ref="A95:A96"/>
    <mergeCell ref="B95:B96"/>
    <mergeCell ref="C95:C96"/>
    <mergeCell ref="D95:D96"/>
    <mergeCell ref="E95:E96"/>
    <mergeCell ref="F95:F96"/>
    <mergeCell ref="G2:G3"/>
    <mergeCell ref="A2:A3"/>
    <mergeCell ref="B2:B3"/>
    <mergeCell ref="C2:C3"/>
    <mergeCell ref="D2:D3"/>
    <mergeCell ref="E2:E3"/>
    <mergeCell ref="F2:F3"/>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1:R82 C81:C82 K17:R17">
      <formula1>List2</formula1>
    </dataValidation>
    <dataValidation type="list" allowBlank="1" showInputMessage="1" showErrorMessage="1" promptTitle="Select" prompt="Select one" sqref="K83:R83 C83 K19:R19">
      <formula1>List4</formula1>
    </dataValidation>
    <dataValidation type="list" allowBlank="1" showInputMessage="1" showErrorMessage="1" promptTitle="Select" prompt="Select one" sqref="K84:R84 K20:R20">
      <formula1>List5</formula1>
    </dataValidation>
    <dataValidation type="list" showInputMessage="1" showErrorMessage="1" promptTitle="Guidance" prompt="Select Yes or No" sqref="K86:R87 K22:R23">
      <formula1>List6</formula1>
    </dataValidation>
    <dataValidation type="list" showInputMessage="1" showErrorMessage="1" promptTitle="Guidance" prompt="Select Uniform or Variable" sqref="K88:R88 K24:R24">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sheetPr>
  <dimension ref="A1:S167"/>
  <sheetViews>
    <sheetView showGridLines="0" zoomScaleNormal="100" workbookViewId="0">
      <selection activeCell="D54" sqref="D54"/>
    </sheetView>
  </sheetViews>
  <sheetFormatPr defaultColWidth="9.1796875" defaultRowHeight="10.5" x14ac:dyDescent="0.25"/>
  <cols>
    <col min="1" max="1" width="31.453125" style="360" customWidth="1"/>
    <col min="2" max="2" width="3.7265625" style="2300" customWidth="1"/>
    <col min="3" max="3" width="17.7265625" style="360" customWidth="1"/>
    <col min="4" max="10" width="9.26953125" style="360" customWidth="1"/>
    <col min="11" max="18" width="8.1796875" style="360" customWidth="1"/>
    <col min="19" max="19" width="9.81640625" style="360" customWidth="1"/>
    <col min="20" max="20" width="9.54296875" style="360" customWidth="1"/>
    <col min="21" max="21" width="9.81640625" style="360" customWidth="1"/>
    <col min="22" max="24" width="9.54296875" style="360" customWidth="1"/>
    <col min="25" max="25" width="9.81640625" style="360" customWidth="1"/>
    <col min="26" max="28" width="9.54296875" style="360" customWidth="1"/>
    <col min="29" max="30" width="9.81640625" style="360" customWidth="1"/>
    <col min="31" max="16384" width="9.1796875" style="360"/>
  </cols>
  <sheetData>
    <row r="1" spans="1:18" ht="13" x14ac:dyDescent="0.3">
      <c r="A1" s="2529" t="str">
        <f>muni&amp;" - "&amp;TableA13b</f>
        <v>KZN225 Msunduzi - Supporting Table SA13b Service Tariffs by category - explanatory</v>
      </c>
      <c r="B1" s="1121"/>
      <c r="C1" s="1121"/>
      <c r="D1" s="1121"/>
      <c r="E1" s="1121"/>
      <c r="F1" s="1121"/>
      <c r="G1" s="1121"/>
      <c r="H1" s="1121"/>
      <c r="I1" s="1121"/>
      <c r="J1" s="1121"/>
      <c r="K1" s="935"/>
      <c r="L1" s="935"/>
      <c r="M1" s="935"/>
      <c r="N1" s="935"/>
      <c r="O1" s="935"/>
      <c r="P1" s="935"/>
      <c r="Q1" s="935"/>
      <c r="R1" s="935"/>
    </row>
    <row r="2" spans="1:18" ht="25" customHeight="1" x14ac:dyDescent="0.25">
      <c r="A2" s="2731" t="str">
        <f>desc</f>
        <v>Description</v>
      </c>
      <c r="B2" s="2699" t="str">
        <f>head27</f>
        <v>Ref</v>
      </c>
      <c r="C2" s="2734" t="s">
        <v>2096</v>
      </c>
      <c r="D2" s="2734" t="str">
        <f>head1b</f>
        <v>2009/10</v>
      </c>
      <c r="E2" s="2734" t="str">
        <f>head1A</f>
        <v>2010/11</v>
      </c>
      <c r="F2" s="2736" t="str">
        <f>Head1</f>
        <v>2011/12</v>
      </c>
      <c r="G2" s="2729" t="str">
        <f>Head2</f>
        <v>Current Year 2012/13</v>
      </c>
      <c r="H2" s="2530" t="str">
        <f>Head3</f>
        <v>2013/14 Medium Term Revenue &amp; Expenditure Framework</v>
      </c>
      <c r="I2" s="2531"/>
      <c r="J2" s="2532"/>
      <c r="K2" s="2298"/>
      <c r="L2" s="2298"/>
      <c r="M2" s="2298"/>
      <c r="N2" s="2298"/>
      <c r="O2" s="2298"/>
      <c r="P2" s="2298"/>
      <c r="Q2" s="2298"/>
      <c r="R2" s="2298"/>
    </row>
    <row r="3" spans="1:18" ht="25" customHeight="1" x14ac:dyDescent="0.25">
      <c r="A3" s="2732"/>
      <c r="B3" s="2700"/>
      <c r="C3" s="2735"/>
      <c r="D3" s="2735"/>
      <c r="E3" s="2735"/>
      <c r="F3" s="2737"/>
      <c r="G3" s="2730"/>
      <c r="H3" s="2597" t="str">
        <f>Head9</f>
        <v>Budget Year 2013/14</v>
      </c>
      <c r="I3" s="2598" t="str">
        <f>Head10</f>
        <v>Budget Year +1 2014/15</v>
      </c>
      <c r="J3" s="2599" t="str">
        <f>Head11</f>
        <v>Budget Year +2 2015/16</v>
      </c>
      <c r="K3" s="238"/>
      <c r="L3" s="238"/>
      <c r="M3" s="238"/>
      <c r="N3" s="238"/>
      <c r="O3" s="238"/>
      <c r="P3" s="238"/>
      <c r="Q3" s="238"/>
      <c r="R3" s="238"/>
    </row>
    <row r="4" spans="1:18" ht="12.75" customHeight="1" x14ac:dyDescent="0.25">
      <c r="A4" s="2534" t="s">
        <v>2118</v>
      </c>
      <c r="B4" s="2541"/>
      <c r="C4" s="2542"/>
      <c r="D4" s="2542"/>
      <c r="E4" s="2542"/>
      <c r="F4" s="2543"/>
      <c r="G4" s="2544"/>
      <c r="H4" s="2544"/>
      <c r="I4" s="2542"/>
      <c r="J4" s="2543"/>
      <c r="K4" s="238"/>
      <c r="L4" s="238"/>
      <c r="M4" s="238"/>
      <c r="N4" s="238"/>
      <c r="O4" s="238"/>
      <c r="P4" s="238"/>
      <c r="Q4" s="238"/>
      <c r="R4" s="238"/>
    </row>
    <row r="5" spans="1:18" ht="12.75" customHeight="1" x14ac:dyDescent="0.25">
      <c r="A5" s="2528" t="s">
        <v>2284</v>
      </c>
      <c r="B5" s="2541"/>
      <c r="C5" s="2600"/>
      <c r="D5" s="2600"/>
      <c r="E5" s="2600"/>
      <c r="F5" s="2601"/>
      <c r="G5" s="2602"/>
      <c r="H5" s="2602"/>
      <c r="I5" s="2600"/>
      <c r="J5" s="2601"/>
      <c r="K5" s="2090"/>
      <c r="L5" s="2090"/>
      <c r="M5" s="2090"/>
      <c r="N5" s="2090"/>
      <c r="O5" s="2090"/>
      <c r="P5" s="2090"/>
      <c r="Q5" s="2090"/>
      <c r="R5" s="2090"/>
    </row>
    <row r="6" spans="1:18" ht="12.75" customHeight="1" x14ac:dyDescent="0.25">
      <c r="A6" s="2528"/>
      <c r="B6" s="2540"/>
      <c r="C6" s="2600"/>
      <c r="D6" s="2600"/>
      <c r="E6" s="2600"/>
      <c r="F6" s="2601"/>
      <c r="G6" s="2602"/>
      <c r="H6" s="2602"/>
      <c r="I6" s="2600"/>
      <c r="J6" s="2601"/>
      <c r="K6" s="2090"/>
      <c r="L6" s="2090"/>
      <c r="M6" s="2090"/>
      <c r="N6" s="2090"/>
      <c r="O6" s="2090"/>
      <c r="P6" s="2090"/>
      <c r="Q6" s="2090"/>
      <c r="R6" s="2090"/>
    </row>
    <row r="7" spans="1:18" ht="12.75" customHeight="1" x14ac:dyDescent="0.25">
      <c r="A7" s="2528"/>
      <c r="B7" s="2540"/>
      <c r="C7" s="2600"/>
      <c r="D7" s="2600"/>
      <c r="E7" s="2600"/>
      <c r="F7" s="2601"/>
      <c r="G7" s="2602"/>
      <c r="H7" s="2602"/>
      <c r="I7" s="2600"/>
      <c r="J7" s="2601"/>
      <c r="K7" s="2090"/>
      <c r="L7" s="2090"/>
      <c r="M7" s="2090"/>
      <c r="N7" s="2090"/>
      <c r="O7" s="2090"/>
      <c r="P7" s="2090"/>
      <c r="Q7" s="2090"/>
      <c r="R7" s="2090"/>
    </row>
    <row r="8" spans="1:18" ht="12.75" customHeight="1" x14ac:dyDescent="0.25">
      <c r="A8" s="2528"/>
      <c r="B8" s="2540"/>
      <c r="C8" s="2600"/>
      <c r="D8" s="2600"/>
      <c r="E8" s="2600"/>
      <c r="F8" s="2601"/>
      <c r="G8" s="2602"/>
      <c r="H8" s="2602"/>
      <c r="I8" s="2600"/>
      <c r="J8" s="2601"/>
      <c r="K8" s="2090"/>
      <c r="L8" s="2090"/>
      <c r="M8" s="2090"/>
      <c r="N8" s="2090"/>
      <c r="O8" s="2090"/>
      <c r="P8" s="2090"/>
      <c r="Q8" s="2090"/>
      <c r="R8" s="2090"/>
    </row>
    <row r="9" spans="1:18" ht="12.75" customHeight="1" x14ac:dyDescent="0.25">
      <c r="A9" s="2528"/>
      <c r="B9" s="2540"/>
      <c r="C9" s="2600"/>
      <c r="D9" s="2600"/>
      <c r="E9" s="2600"/>
      <c r="F9" s="2601"/>
      <c r="G9" s="2602"/>
      <c r="H9" s="2602"/>
      <c r="I9" s="2600"/>
      <c r="J9" s="2601"/>
      <c r="K9" s="2090"/>
      <c r="L9" s="2090"/>
      <c r="M9" s="2090"/>
      <c r="N9" s="2090"/>
      <c r="O9" s="2090"/>
      <c r="P9" s="2090"/>
      <c r="Q9" s="2090"/>
      <c r="R9" s="2090"/>
    </row>
    <row r="10" spans="1:18" ht="12.75" customHeight="1" x14ac:dyDescent="0.25">
      <c r="A10" s="2528"/>
      <c r="B10" s="2540"/>
      <c r="C10" s="2600"/>
      <c r="D10" s="2600"/>
      <c r="E10" s="2600"/>
      <c r="F10" s="2601"/>
      <c r="G10" s="2602"/>
      <c r="H10" s="2602"/>
      <c r="I10" s="2600"/>
      <c r="J10" s="2601"/>
      <c r="K10" s="2090"/>
      <c r="L10" s="2090"/>
      <c r="M10" s="2090"/>
      <c r="N10" s="2090"/>
      <c r="O10" s="2090"/>
      <c r="P10" s="2090"/>
      <c r="Q10" s="2090"/>
      <c r="R10" s="2090"/>
    </row>
    <row r="11" spans="1:18" ht="12.75" customHeight="1" x14ac:dyDescent="0.25">
      <c r="A11" s="2528"/>
      <c r="B11" s="2540"/>
      <c r="C11" s="2600"/>
      <c r="D11" s="2600"/>
      <c r="E11" s="2600"/>
      <c r="F11" s="2601"/>
      <c r="G11" s="2602"/>
      <c r="H11" s="2602"/>
      <c r="I11" s="2600"/>
      <c r="J11" s="2601"/>
      <c r="K11" s="2090"/>
      <c r="L11" s="2090"/>
      <c r="M11" s="2090"/>
      <c r="N11" s="2090"/>
      <c r="O11" s="2090"/>
      <c r="P11" s="2090"/>
      <c r="Q11" s="2090"/>
      <c r="R11" s="2090"/>
    </row>
    <row r="12" spans="1:18" ht="12.75" customHeight="1" x14ac:dyDescent="0.25">
      <c r="A12" s="2528"/>
      <c r="B12" s="2540"/>
      <c r="C12" s="2600"/>
      <c r="D12" s="2600"/>
      <c r="E12" s="2600"/>
      <c r="F12" s="2601"/>
      <c r="G12" s="2602"/>
      <c r="H12" s="2602"/>
      <c r="I12" s="2600"/>
      <c r="J12" s="2601"/>
      <c r="K12" s="2090"/>
      <c r="L12" s="2090"/>
      <c r="M12" s="2090"/>
      <c r="N12" s="2090"/>
      <c r="O12" s="2090"/>
      <c r="P12" s="2090"/>
      <c r="Q12" s="2090"/>
      <c r="R12" s="2090"/>
    </row>
    <row r="13" spans="1:18" ht="6" customHeight="1" x14ac:dyDescent="0.25">
      <c r="A13" s="2547"/>
      <c r="B13" s="2541"/>
      <c r="C13" s="2541"/>
      <c r="D13" s="2548"/>
      <c r="E13" s="2548"/>
      <c r="F13" s="2549"/>
      <c r="G13" s="2550"/>
      <c r="H13" s="2550"/>
      <c r="I13" s="2548"/>
      <c r="J13" s="2549"/>
      <c r="K13" s="2090"/>
      <c r="L13" s="2090"/>
      <c r="M13" s="2090"/>
      <c r="N13" s="2090"/>
      <c r="O13" s="2090"/>
      <c r="P13" s="2090"/>
      <c r="Q13" s="2090"/>
      <c r="R13" s="2090"/>
    </row>
    <row r="14" spans="1:18" ht="12.75" customHeight="1" x14ac:dyDescent="0.25">
      <c r="A14" s="2534" t="s">
        <v>2124</v>
      </c>
      <c r="B14" s="2541"/>
      <c r="C14" s="2541"/>
      <c r="D14" s="2542"/>
      <c r="E14" s="2542"/>
      <c r="F14" s="2543"/>
      <c r="G14" s="2544"/>
      <c r="H14" s="2544"/>
      <c r="I14" s="2542"/>
      <c r="J14" s="2543"/>
      <c r="K14" s="2090"/>
      <c r="L14" s="2090"/>
      <c r="M14" s="2090"/>
      <c r="N14" s="2090"/>
      <c r="O14" s="2090"/>
      <c r="P14" s="2090"/>
      <c r="Q14" s="2090"/>
      <c r="R14" s="2090"/>
    </row>
    <row r="15" spans="1:18" ht="12.75" customHeight="1" x14ac:dyDescent="0.25">
      <c r="A15" s="2528" t="s">
        <v>2277</v>
      </c>
      <c r="B15" s="2540"/>
      <c r="C15" s="2600" t="s">
        <v>2132</v>
      </c>
      <c r="D15" s="2600"/>
      <c r="E15" s="2600"/>
      <c r="F15" s="2601"/>
      <c r="G15" s="2602"/>
      <c r="H15" s="2602"/>
      <c r="I15" s="2600"/>
      <c r="J15" s="2601"/>
      <c r="K15" s="2090"/>
      <c r="L15" s="2090"/>
      <c r="M15" s="2090"/>
      <c r="N15" s="2090"/>
      <c r="O15" s="2090"/>
      <c r="P15" s="2090"/>
      <c r="Q15" s="2090"/>
      <c r="R15" s="2090"/>
    </row>
    <row r="16" spans="1:18" ht="12.75" customHeight="1" x14ac:dyDescent="0.25">
      <c r="A16" s="2528"/>
      <c r="B16" s="2540"/>
      <c r="C16" s="2600" t="s">
        <v>2132</v>
      </c>
      <c r="D16" s="2600"/>
      <c r="E16" s="2600"/>
      <c r="F16" s="2601"/>
      <c r="G16" s="2602"/>
      <c r="H16" s="2602"/>
      <c r="I16" s="2600"/>
      <c r="J16" s="2601"/>
      <c r="K16" s="2307"/>
      <c r="L16" s="2307"/>
      <c r="M16" s="2307"/>
      <c r="N16" s="2307"/>
      <c r="O16" s="2307"/>
      <c r="P16" s="2307"/>
      <c r="Q16" s="2307"/>
      <c r="R16" s="2307"/>
    </row>
    <row r="17" spans="1:18" ht="12.75" customHeight="1" x14ac:dyDescent="0.25">
      <c r="A17" s="2528"/>
      <c r="B17" s="2540"/>
      <c r="C17" s="2600" t="s">
        <v>2132</v>
      </c>
      <c r="D17" s="2600"/>
      <c r="E17" s="2600"/>
      <c r="F17" s="2601"/>
      <c r="G17" s="2602"/>
      <c r="H17" s="2602"/>
      <c r="I17" s="2600"/>
      <c r="J17" s="2601"/>
      <c r="K17" s="2309"/>
      <c r="L17" s="2309"/>
      <c r="M17" s="2309"/>
      <c r="N17" s="2309"/>
      <c r="O17" s="2309"/>
      <c r="P17" s="2309"/>
      <c r="Q17" s="2309"/>
      <c r="R17" s="2309"/>
    </row>
    <row r="18" spans="1:18" ht="12.75" customHeight="1" x14ac:dyDescent="0.25">
      <c r="A18" s="2528"/>
      <c r="B18" s="2540"/>
      <c r="C18" s="2600" t="s">
        <v>2132</v>
      </c>
      <c r="D18" s="2600"/>
      <c r="E18" s="2600"/>
      <c r="F18" s="2601"/>
      <c r="G18" s="2602"/>
      <c r="H18" s="2602"/>
      <c r="I18" s="2600"/>
      <c r="J18" s="2601"/>
      <c r="K18" s="2310"/>
      <c r="L18" s="2310"/>
      <c r="M18" s="2310"/>
      <c r="N18" s="2310"/>
      <c r="O18" s="2310"/>
      <c r="P18" s="2310"/>
      <c r="Q18" s="2310"/>
      <c r="R18" s="2310"/>
    </row>
    <row r="19" spans="1:18" ht="12.75" customHeight="1" x14ac:dyDescent="0.25">
      <c r="A19" s="2528"/>
      <c r="B19" s="2540"/>
      <c r="C19" s="2600" t="s">
        <v>2132</v>
      </c>
      <c r="D19" s="2600"/>
      <c r="E19" s="2600"/>
      <c r="F19" s="2601"/>
      <c r="G19" s="2602"/>
      <c r="H19" s="2602"/>
      <c r="I19" s="2600"/>
      <c r="J19" s="2601"/>
      <c r="K19" s="2309"/>
      <c r="L19" s="2309"/>
      <c r="M19" s="2309"/>
      <c r="N19" s="2309"/>
      <c r="O19" s="2309"/>
      <c r="P19" s="2309"/>
      <c r="Q19" s="2309"/>
      <c r="R19" s="2309"/>
    </row>
    <row r="20" spans="1:18" ht="12.75" customHeight="1" x14ac:dyDescent="0.25">
      <c r="A20" s="2528"/>
      <c r="B20" s="2540"/>
      <c r="C20" s="2600" t="s">
        <v>2132</v>
      </c>
      <c r="D20" s="2600"/>
      <c r="E20" s="2600"/>
      <c r="F20" s="2601"/>
      <c r="G20" s="2602"/>
      <c r="H20" s="2602"/>
      <c r="I20" s="2600"/>
      <c r="J20" s="2601"/>
      <c r="K20" s="2309"/>
      <c r="L20" s="2309"/>
      <c r="M20" s="2309"/>
      <c r="N20" s="2309"/>
      <c r="O20" s="2309"/>
      <c r="P20" s="2309"/>
      <c r="Q20" s="2309"/>
      <c r="R20" s="2309"/>
    </row>
    <row r="21" spans="1:18" ht="12.75" customHeight="1" x14ac:dyDescent="0.25">
      <c r="A21" s="2528"/>
      <c r="B21" s="2540"/>
      <c r="C21" s="2600" t="s">
        <v>2132</v>
      </c>
      <c r="D21" s="2600"/>
      <c r="E21" s="2600"/>
      <c r="F21" s="2601"/>
      <c r="G21" s="2602"/>
      <c r="H21" s="2602"/>
      <c r="I21" s="2600"/>
      <c r="J21" s="2601"/>
      <c r="K21" s="2309"/>
      <c r="L21" s="2309"/>
      <c r="M21" s="2309"/>
      <c r="N21" s="2309"/>
      <c r="O21" s="2309"/>
      <c r="P21" s="2309"/>
      <c r="Q21" s="2309"/>
      <c r="R21" s="2309"/>
    </row>
    <row r="22" spans="1:18" ht="12.75" customHeight="1" x14ac:dyDescent="0.25">
      <c r="A22" s="2528"/>
      <c r="B22" s="2540"/>
      <c r="C22" s="2600" t="s">
        <v>2132</v>
      </c>
      <c r="D22" s="2600"/>
      <c r="E22" s="2600"/>
      <c r="F22" s="2601"/>
      <c r="G22" s="2602"/>
      <c r="H22" s="2602"/>
      <c r="I22" s="2600"/>
      <c r="J22" s="2601"/>
      <c r="K22" s="2309"/>
      <c r="L22" s="2309"/>
      <c r="M22" s="2309"/>
      <c r="N22" s="2309"/>
      <c r="O22" s="2309"/>
      <c r="P22" s="2309"/>
      <c r="Q22" s="2309"/>
      <c r="R22" s="2309"/>
    </row>
    <row r="23" spans="1:18" ht="12.75" customHeight="1" x14ac:dyDescent="0.25">
      <c r="A23" s="2528"/>
      <c r="B23" s="2540"/>
      <c r="C23" s="2600" t="s">
        <v>2132</v>
      </c>
      <c r="D23" s="2600"/>
      <c r="E23" s="2600"/>
      <c r="F23" s="2601"/>
      <c r="G23" s="2602"/>
      <c r="H23" s="2602"/>
      <c r="I23" s="2600"/>
      <c r="J23" s="2601"/>
      <c r="K23" s="2309"/>
      <c r="L23" s="2309"/>
      <c r="M23" s="2309"/>
      <c r="N23" s="2309"/>
      <c r="O23" s="2309"/>
      <c r="P23" s="2309"/>
      <c r="Q23" s="2309"/>
      <c r="R23" s="2309"/>
    </row>
    <row r="24" spans="1:18" ht="12.75" customHeight="1" x14ac:dyDescent="0.25">
      <c r="A24" s="2528"/>
      <c r="B24" s="2540"/>
      <c r="C24" s="2600" t="s">
        <v>2132</v>
      </c>
      <c r="D24" s="2600"/>
      <c r="E24" s="2600"/>
      <c r="F24" s="2601"/>
      <c r="G24" s="2602"/>
      <c r="H24" s="2602"/>
      <c r="I24" s="2600"/>
      <c r="J24" s="2601"/>
      <c r="K24" s="2309"/>
      <c r="L24" s="2309"/>
      <c r="M24" s="2309"/>
      <c r="N24" s="2309"/>
      <c r="O24" s="2309"/>
      <c r="P24" s="2309"/>
      <c r="Q24" s="2309"/>
      <c r="R24" s="2309"/>
    </row>
    <row r="25" spans="1:18" ht="6" customHeight="1" x14ac:dyDescent="0.25">
      <c r="A25" s="2603"/>
      <c r="B25" s="2540"/>
      <c r="C25" s="2541"/>
      <c r="D25" s="2542"/>
      <c r="E25" s="2542"/>
      <c r="F25" s="2543"/>
      <c r="G25" s="2544"/>
      <c r="H25" s="2544"/>
      <c r="I25" s="2542"/>
      <c r="J25" s="2543"/>
      <c r="K25" s="603"/>
      <c r="L25" s="603"/>
      <c r="M25" s="603"/>
      <c r="N25" s="603"/>
      <c r="O25" s="603"/>
      <c r="P25" s="603"/>
      <c r="Q25" s="603"/>
      <c r="R25" s="603"/>
    </row>
    <row r="26" spans="1:18" ht="12.75" customHeight="1" x14ac:dyDescent="0.25">
      <c r="A26" s="2534" t="s">
        <v>2137</v>
      </c>
      <c r="B26" s="2540"/>
      <c r="C26" s="2541"/>
      <c r="D26" s="2542"/>
      <c r="E26" s="2542"/>
      <c r="F26" s="2543"/>
      <c r="G26" s="2544"/>
      <c r="H26" s="2544"/>
      <c r="I26" s="2542"/>
      <c r="J26" s="2543"/>
      <c r="K26" s="603"/>
      <c r="L26" s="603"/>
      <c r="M26" s="603"/>
      <c r="N26" s="603"/>
      <c r="O26" s="603"/>
      <c r="P26" s="603"/>
      <c r="Q26" s="603"/>
      <c r="R26" s="603"/>
    </row>
    <row r="27" spans="1:18" ht="12.75" customHeight="1" x14ac:dyDescent="0.25">
      <c r="A27" s="2528" t="s">
        <v>2277</v>
      </c>
      <c r="B27" s="2540"/>
      <c r="C27" s="2600" t="s">
        <v>2140</v>
      </c>
      <c r="D27" s="2600"/>
      <c r="E27" s="2600"/>
      <c r="F27" s="2601"/>
      <c r="G27" s="2602"/>
      <c r="H27" s="2602"/>
      <c r="I27" s="2600"/>
      <c r="J27" s="2601"/>
      <c r="K27" s="2311"/>
      <c r="L27" s="2311"/>
      <c r="M27" s="2311"/>
      <c r="N27" s="2311"/>
      <c r="O27" s="2311"/>
      <c r="P27" s="2311"/>
      <c r="Q27" s="2311"/>
      <c r="R27" s="2311"/>
    </row>
    <row r="28" spans="1:18" ht="12.75" customHeight="1" x14ac:dyDescent="0.25">
      <c r="A28" s="2528"/>
      <c r="B28" s="2540"/>
      <c r="C28" s="2600" t="s">
        <v>2140</v>
      </c>
      <c r="D28" s="2600"/>
      <c r="E28" s="2600"/>
      <c r="F28" s="2601"/>
      <c r="G28" s="2602"/>
      <c r="H28" s="2602"/>
      <c r="I28" s="2600"/>
      <c r="J28" s="2601"/>
      <c r="K28" s="2311"/>
      <c r="L28" s="2311"/>
      <c r="M28" s="2311"/>
      <c r="N28" s="2311"/>
      <c r="O28" s="2311"/>
      <c r="P28" s="2311"/>
      <c r="Q28" s="2311"/>
      <c r="R28" s="2311"/>
    </row>
    <row r="29" spans="1:18" ht="12.75" customHeight="1" x14ac:dyDescent="0.25">
      <c r="A29" s="2528"/>
      <c r="B29" s="2540"/>
      <c r="C29" s="2600" t="s">
        <v>2140</v>
      </c>
      <c r="D29" s="2600"/>
      <c r="E29" s="2600"/>
      <c r="F29" s="2601"/>
      <c r="G29" s="2602"/>
      <c r="H29" s="2602"/>
      <c r="I29" s="2600"/>
      <c r="J29" s="2601"/>
      <c r="K29" s="2311"/>
      <c r="L29" s="2311"/>
      <c r="M29" s="2311"/>
      <c r="N29" s="2311"/>
      <c r="O29" s="2311"/>
      <c r="P29" s="2311"/>
      <c r="Q29" s="2311"/>
      <c r="R29" s="2311"/>
    </row>
    <row r="30" spans="1:18" ht="12.75" customHeight="1" x14ac:dyDescent="0.25">
      <c r="A30" s="2528"/>
      <c r="B30" s="2540"/>
      <c r="C30" s="2600" t="s">
        <v>2140</v>
      </c>
      <c r="D30" s="2600"/>
      <c r="E30" s="2600"/>
      <c r="F30" s="2601"/>
      <c r="G30" s="2602"/>
      <c r="H30" s="2602"/>
      <c r="I30" s="2600"/>
      <c r="J30" s="2601"/>
      <c r="K30" s="2311"/>
      <c r="L30" s="2311"/>
      <c r="M30" s="2311"/>
      <c r="N30" s="2311"/>
      <c r="O30" s="2311"/>
      <c r="P30" s="2311"/>
      <c r="Q30" s="2311"/>
      <c r="R30" s="2311"/>
    </row>
    <row r="31" spans="1:18" ht="12.75" customHeight="1" x14ac:dyDescent="0.25">
      <c r="A31" s="2528"/>
      <c r="B31" s="2540"/>
      <c r="C31" s="2600" t="s">
        <v>2140</v>
      </c>
      <c r="D31" s="2600"/>
      <c r="E31" s="2600"/>
      <c r="F31" s="2601"/>
      <c r="G31" s="2602"/>
      <c r="H31" s="2602"/>
      <c r="I31" s="2600"/>
      <c r="J31" s="2601"/>
      <c r="K31" s="2311"/>
      <c r="L31" s="2311"/>
      <c r="M31" s="2311"/>
      <c r="N31" s="2311"/>
      <c r="O31" s="2311"/>
      <c r="P31" s="2311"/>
      <c r="Q31" s="2311"/>
      <c r="R31" s="2311"/>
    </row>
    <row r="32" spans="1:18" ht="12.75" customHeight="1" x14ac:dyDescent="0.25">
      <c r="A32" s="2528"/>
      <c r="B32" s="2540"/>
      <c r="C32" s="2600" t="s">
        <v>2140</v>
      </c>
      <c r="D32" s="2600"/>
      <c r="E32" s="2600"/>
      <c r="F32" s="2601"/>
      <c r="G32" s="2602"/>
      <c r="H32" s="2602"/>
      <c r="I32" s="2600"/>
      <c r="J32" s="2601"/>
      <c r="K32" s="2311"/>
      <c r="L32" s="2311"/>
      <c r="M32" s="2311"/>
      <c r="N32" s="2311"/>
      <c r="O32" s="2311"/>
      <c r="P32" s="2311"/>
      <c r="Q32" s="2311"/>
      <c r="R32" s="2311"/>
    </row>
    <row r="33" spans="1:19" ht="12.75" customHeight="1" x14ac:dyDescent="0.25">
      <c r="A33" s="2528"/>
      <c r="B33" s="2540"/>
      <c r="C33" s="2600" t="s">
        <v>2140</v>
      </c>
      <c r="D33" s="2600"/>
      <c r="E33" s="2600"/>
      <c r="F33" s="2601"/>
      <c r="G33" s="2602"/>
      <c r="H33" s="2602"/>
      <c r="I33" s="2600"/>
      <c r="J33" s="2601"/>
      <c r="K33" s="2301"/>
      <c r="L33" s="2301"/>
      <c r="M33" s="2301"/>
      <c r="N33" s="2301"/>
      <c r="O33" s="2301"/>
      <c r="P33" s="2301"/>
      <c r="Q33" s="2301"/>
      <c r="R33" s="2301"/>
    </row>
    <row r="34" spans="1:19" ht="12.75" customHeight="1" x14ac:dyDescent="0.25">
      <c r="A34" s="2528"/>
      <c r="B34" s="2540"/>
      <c r="C34" s="2600" t="s">
        <v>2140</v>
      </c>
      <c r="D34" s="2600"/>
      <c r="E34" s="2600"/>
      <c r="F34" s="2601"/>
      <c r="G34" s="2602"/>
      <c r="H34" s="2602"/>
      <c r="I34" s="2600"/>
      <c r="J34" s="2601"/>
      <c r="K34" s="2312"/>
      <c r="L34" s="2312"/>
      <c r="M34" s="2312"/>
      <c r="N34" s="2312"/>
      <c r="O34" s="2312"/>
      <c r="P34" s="2312"/>
      <c r="Q34" s="2312"/>
      <c r="R34" s="2312"/>
    </row>
    <row r="35" spans="1:19" ht="12.75" customHeight="1" x14ac:dyDescent="0.25">
      <c r="A35" s="2528"/>
      <c r="B35" s="2540"/>
      <c r="C35" s="2600" t="s">
        <v>2140</v>
      </c>
      <c r="D35" s="2600"/>
      <c r="E35" s="2600"/>
      <c r="F35" s="2601"/>
      <c r="G35" s="2602"/>
      <c r="H35" s="2602"/>
      <c r="I35" s="2600"/>
      <c r="J35" s="2601"/>
      <c r="K35" s="2312"/>
      <c r="L35" s="2312"/>
      <c r="M35" s="2312"/>
      <c r="N35" s="2312"/>
      <c r="O35" s="2312"/>
      <c r="P35" s="2312"/>
      <c r="Q35" s="2312"/>
      <c r="R35" s="2312"/>
    </row>
    <row r="36" spans="1:19" ht="5.15" customHeight="1" x14ac:dyDescent="0.25">
      <c r="A36" s="2604"/>
      <c r="B36" s="2541"/>
      <c r="C36" s="2541"/>
      <c r="D36" s="2542"/>
      <c r="E36" s="2542"/>
      <c r="F36" s="2543"/>
      <c r="G36" s="2544"/>
      <c r="H36" s="2544"/>
      <c r="I36" s="2542"/>
      <c r="J36" s="2543"/>
      <c r="K36" s="2314"/>
      <c r="L36" s="2314"/>
      <c r="M36" s="2314"/>
      <c r="N36" s="2314"/>
      <c r="O36" s="2314"/>
      <c r="P36" s="2314"/>
      <c r="Q36" s="2314"/>
      <c r="R36" s="2314"/>
    </row>
    <row r="37" spans="1:19" ht="12.75" customHeight="1" x14ac:dyDescent="0.25">
      <c r="A37" s="2534" t="s">
        <v>2144</v>
      </c>
      <c r="B37" s="2540"/>
      <c r="C37" s="2541"/>
      <c r="D37" s="2542"/>
      <c r="E37" s="2542"/>
      <c r="F37" s="2543"/>
      <c r="G37" s="2544"/>
      <c r="H37" s="2544"/>
      <c r="I37" s="2542"/>
      <c r="J37" s="2543"/>
      <c r="K37" s="2302"/>
      <c r="L37" s="2302"/>
      <c r="M37" s="2302"/>
      <c r="N37" s="2302"/>
      <c r="O37" s="2302"/>
      <c r="P37" s="2302"/>
      <c r="Q37" s="2302"/>
      <c r="R37" s="2302"/>
    </row>
    <row r="38" spans="1:19" ht="12.75" customHeight="1" x14ac:dyDescent="0.25">
      <c r="A38" s="2528" t="s">
        <v>2277</v>
      </c>
      <c r="B38" s="2540"/>
      <c r="C38" s="2600" t="s">
        <v>2148</v>
      </c>
      <c r="D38" s="2600"/>
      <c r="E38" s="2600"/>
      <c r="F38" s="2601"/>
      <c r="G38" s="2602"/>
      <c r="H38" s="2602"/>
      <c r="I38" s="2600"/>
      <c r="J38" s="2601"/>
      <c r="K38" s="2315"/>
      <c r="L38" s="2315"/>
      <c r="M38" s="2315"/>
      <c r="N38" s="2315"/>
      <c r="O38" s="2315"/>
      <c r="P38" s="2315"/>
      <c r="Q38" s="2315"/>
      <c r="R38" s="2315"/>
    </row>
    <row r="39" spans="1:19" ht="12.75" customHeight="1" x14ac:dyDescent="0.25">
      <c r="A39" s="2528"/>
      <c r="B39" s="2540"/>
      <c r="C39" s="2600" t="s">
        <v>2148</v>
      </c>
      <c r="D39" s="2600"/>
      <c r="E39" s="2600"/>
      <c r="F39" s="2601"/>
      <c r="G39" s="2602"/>
      <c r="H39" s="2602"/>
      <c r="I39" s="2600"/>
      <c r="J39" s="2601"/>
      <c r="K39" s="1332"/>
      <c r="L39" s="1332"/>
      <c r="M39" s="1332"/>
      <c r="N39" s="1332"/>
      <c r="O39" s="1332"/>
      <c r="P39" s="1332"/>
      <c r="Q39" s="1332"/>
      <c r="R39" s="1332"/>
      <c r="S39" s="210">
        <f>SUM(C39:R39)</f>
        <v>0</v>
      </c>
    </row>
    <row r="40" spans="1:19" ht="12.75" customHeight="1" x14ac:dyDescent="0.25">
      <c r="A40" s="2528"/>
      <c r="B40" s="2540"/>
      <c r="C40" s="2600" t="s">
        <v>2148</v>
      </c>
      <c r="D40" s="2600"/>
      <c r="E40" s="2600"/>
      <c r="F40" s="2601"/>
      <c r="G40" s="2602"/>
      <c r="H40" s="2602"/>
      <c r="I40" s="2600"/>
      <c r="J40" s="2601"/>
      <c r="K40" s="1332"/>
      <c r="L40" s="1332"/>
      <c r="M40" s="1332"/>
      <c r="N40" s="1332"/>
      <c r="O40" s="1332"/>
      <c r="P40" s="1332"/>
      <c r="Q40" s="1332"/>
      <c r="R40" s="1332"/>
      <c r="S40" s="210">
        <f>SUM(C40:R40)</f>
        <v>0</v>
      </c>
    </row>
    <row r="41" spans="1:19" ht="12.75" customHeight="1" x14ac:dyDescent="0.25">
      <c r="A41" s="2528"/>
      <c r="B41" s="2540"/>
      <c r="C41" s="2600" t="s">
        <v>2148</v>
      </c>
      <c r="D41" s="2600"/>
      <c r="E41" s="2600"/>
      <c r="F41" s="2601"/>
      <c r="G41" s="2602"/>
      <c r="H41" s="2602"/>
      <c r="I41" s="2600"/>
      <c r="J41" s="2601"/>
      <c r="K41" s="2316"/>
      <c r="L41" s="2316"/>
      <c r="M41" s="2316"/>
      <c r="N41" s="2316"/>
      <c r="O41" s="2316"/>
      <c r="P41" s="2316"/>
      <c r="Q41" s="2316"/>
      <c r="R41" s="2316"/>
    </row>
    <row r="42" spans="1:19" ht="12.75" customHeight="1" x14ac:dyDescent="0.25">
      <c r="A42" s="2528"/>
      <c r="B42" s="2540"/>
      <c r="C42" s="2600" t="s">
        <v>2148</v>
      </c>
      <c r="D42" s="2600"/>
      <c r="E42" s="2600"/>
      <c r="F42" s="2601"/>
      <c r="G42" s="2602"/>
      <c r="H42" s="2602"/>
      <c r="I42" s="2600"/>
      <c r="J42" s="2601"/>
      <c r="K42" s="2317"/>
      <c r="L42" s="2317"/>
      <c r="M42" s="2317"/>
      <c r="N42" s="2317"/>
      <c r="O42" s="2317"/>
      <c r="P42" s="2317"/>
      <c r="Q42" s="2317"/>
      <c r="R42" s="2317"/>
    </row>
    <row r="43" spans="1:19" ht="12.75" customHeight="1" x14ac:dyDescent="0.25">
      <c r="A43" s="2528"/>
      <c r="B43" s="2540"/>
      <c r="C43" s="2600" t="s">
        <v>2148</v>
      </c>
      <c r="D43" s="2600"/>
      <c r="E43" s="2600"/>
      <c r="F43" s="2601"/>
      <c r="G43" s="2602"/>
      <c r="H43" s="2602"/>
      <c r="I43" s="2600"/>
      <c r="J43" s="2601"/>
      <c r="K43" s="2317"/>
      <c r="L43" s="2317"/>
      <c r="M43" s="2317"/>
      <c r="N43" s="2317"/>
      <c r="O43" s="2317"/>
      <c r="P43" s="2317"/>
      <c r="Q43" s="2317"/>
      <c r="R43" s="2317"/>
    </row>
    <row r="44" spans="1:19" ht="12.75" customHeight="1" x14ac:dyDescent="0.25">
      <c r="A44" s="2528"/>
      <c r="B44" s="2540"/>
      <c r="C44" s="2600" t="s">
        <v>2148</v>
      </c>
      <c r="D44" s="2600"/>
      <c r="E44" s="2600"/>
      <c r="F44" s="2601"/>
      <c r="G44" s="2602"/>
      <c r="H44" s="2602"/>
      <c r="I44" s="2600"/>
      <c r="J44" s="2601"/>
      <c r="K44" s="2317"/>
      <c r="L44" s="2317"/>
      <c r="M44" s="2317"/>
      <c r="N44" s="2317"/>
      <c r="O44" s="2317"/>
      <c r="P44" s="2317"/>
      <c r="Q44" s="2317"/>
      <c r="R44" s="2317"/>
    </row>
    <row r="45" spans="1:19" ht="12.75" customHeight="1" x14ac:dyDescent="0.25">
      <c r="A45" s="2528"/>
      <c r="B45" s="2540"/>
      <c r="C45" s="2600" t="s">
        <v>2148</v>
      </c>
      <c r="D45" s="2600"/>
      <c r="E45" s="2600"/>
      <c r="F45" s="2601"/>
      <c r="G45" s="2602"/>
      <c r="H45" s="2602"/>
      <c r="I45" s="2600"/>
      <c r="J45" s="2601"/>
      <c r="K45" s="2317"/>
      <c r="L45" s="2317"/>
      <c r="M45" s="2317"/>
      <c r="N45" s="2317"/>
      <c r="O45" s="2317"/>
      <c r="P45" s="2317"/>
      <c r="Q45" s="2317"/>
      <c r="R45" s="2317"/>
    </row>
    <row r="46" spans="1:19" ht="12.75" customHeight="1" x14ac:dyDescent="0.25">
      <c r="A46" s="2528"/>
      <c r="B46" s="2540"/>
      <c r="C46" s="2600" t="s">
        <v>2148</v>
      </c>
      <c r="D46" s="2600"/>
      <c r="E46" s="2600"/>
      <c r="F46" s="2601"/>
      <c r="G46" s="2602"/>
      <c r="H46" s="2602"/>
      <c r="I46" s="2600"/>
      <c r="J46" s="2601"/>
      <c r="K46" s="2317"/>
      <c r="L46" s="2317"/>
      <c r="M46" s="2317"/>
      <c r="N46" s="2317"/>
      <c r="O46" s="2317"/>
      <c r="P46" s="2317"/>
      <c r="Q46" s="2317"/>
      <c r="R46" s="2317"/>
    </row>
    <row r="47" spans="1:19" ht="12.75" customHeight="1" x14ac:dyDescent="0.25">
      <c r="A47" s="2528"/>
      <c r="B47" s="2540"/>
      <c r="C47" s="2600" t="s">
        <v>2148</v>
      </c>
      <c r="D47" s="2600"/>
      <c r="E47" s="2600"/>
      <c r="F47" s="2601"/>
      <c r="G47" s="2602"/>
      <c r="H47" s="2602"/>
      <c r="I47" s="2600"/>
      <c r="J47" s="2601"/>
      <c r="K47" s="2317"/>
      <c r="L47" s="2317"/>
      <c r="M47" s="2317"/>
      <c r="N47" s="2317"/>
      <c r="O47" s="2317"/>
      <c r="P47" s="2317"/>
      <c r="Q47" s="2317"/>
      <c r="R47" s="2317"/>
    </row>
    <row r="48" spans="1:19" ht="12.75" customHeight="1" x14ac:dyDescent="0.25">
      <c r="A48" s="2528"/>
      <c r="B48" s="2540"/>
      <c r="C48" s="2600" t="s">
        <v>2148</v>
      </c>
      <c r="D48" s="2600"/>
      <c r="E48" s="2600"/>
      <c r="F48" s="2601"/>
      <c r="G48" s="2602"/>
      <c r="H48" s="2602"/>
      <c r="I48" s="2600"/>
      <c r="J48" s="2601"/>
      <c r="K48" s="261"/>
      <c r="L48" s="261"/>
      <c r="M48" s="261"/>
      <c r="N48" s="261"/>
      <c r="O48" s="261"/>
      <c r="P48" s="261"/>
      <c r="Q48" s="261"/>
      <c r="R48" s="261"/>
    </row>
    <row r="49" spans="1:18" ht="12.75" customHeight="1" x14ac:dyDescent="0.25">
      <c r="A49" s="2528"/>
      <c r="B49" s="2540"/>
      <c r="C49" s="2600" t="s">
        <v>2148</v>
      </c>
      <c r="D49" s="2600"/>
      <c r="E49" s="2600"/>
      <c r="F49" s="2601"/>
      <c r="G49" s="2602"/>
      <c r="H49" s="2602"/>
      <c r="I49" s="2600"/>
      <c r="J49" s="2601"/>
      <c r="K49" s="363"/>
      <c r="L49" s="363"/>
      <c r="M49" s="363"/>
      <c r="N49" s="363"/>
      <c r="O49" s="363"/>
      <c r="P49" s="363"/>
      <c r="Q49" s="363"/>
      <c r="R49" s="363"/>
    </row>
    <row r="50" spans="1:18" s="1062" customFormat="1" ht="12.75" customHeight="1" x14ac:dyDescent="0.25">
      <c r="A50" s="2528"/>
      <c r="B50" s="2540"/>
      <c r="C50" s="2600" t="s">
        <v>2148</v>
      </c>
      <c r="D50" s="2600"/>
      <c r="E50" s="2600"/>
      <c r="F50" s="2601"/>
      <c r="G50" s="2602"/>
      <c r="H50" s="2602"/>
      <c r="I50" s="2600"/>
      <c r="J50" s="2601"/>
      <c r="K50" s="1040"/>
      <c r="L50" s="1040"/>
      <c r="M50" s="1040"/>
      <c r="N50" s="1040"/>
      <c r="O50" s="1040"/>
      <c r="P50" s="1040"/>
      <c r="Q50" s="1040"/>
      <c r="R50" s="1040"/>
    </row>
    <row r="51" spans="1:18" s="1062" customFormat="1" ht="6" customHeight="1" x14ac:dyDescent="0.25">
      <c r="A51" s="2592"/>
      <c r="B51" s="2593"/>
      <c r="C51" s="2594"/>
      <c r="D51" s="2594"/>
      <c r="E51" s="2594"/>
      <c r="F51" s="2595"/>
      <c r="G51" s="2596"/>
      <c r="H51" s="2596"/>
      <c r="I51" s="2594"/>
      <c r="J51" s="2595"/>
      <c r="K51" s="1040"/>
      <c r="L51" s="1040"/>
      <c r="M51" s="1040"/>
      <c r="N51" s="1040"/>
      <c r="O51" s="1040"/>
      <c r="P51" s="1040"/>
      <c r="Q51" s="1040"/>
      <c r="R51" s="1040"/>
    </row>
    <row r="52" spans="1:18" s="1062" customFormat="1" ht="12.75" customHeight="1" x14ac:dyDescent="0.25">
      <c r="A52" s="2585"/>
      <c r="B52" s="2586"/>
      <c r="C52" s="2587"/>
      <c r="D52" s="2587"/>
      <c r="E52" s="2587"/>
      <c r="F52" s="2587"/>
      <c r="G52" s="2587"/>
      <c r="H52" s="2587"/>
      <c r="I52" s="2587"/>
      <c r="J52" s="2587"/>
      <c r="K52" s="1040"/>
      <c r="L52" s="1040"/>
      <c r="M52" s="1040"/>
      <c r="N52" s="1040"/>
      <c r="O52" s="1040"/>
      <c r="P52" s="1040"/>
      <c r="Q52" s="1040"/>
      <c r="R52" s="1040"/>
    </row>
    <row r="53" spans="1:18" s="1062" customFormat="1" ht="12.75" customHeight="1" x14ac:dyDescent="0.25">
      <c r="A53" s="2585"/>
      <c r="B53" s="2586"/>
      <c r="C53" s="2587"/>
      <c r="D53" s="2587"/>
      <c r="E53" s="2587"/>
      <c r="F53" s="2587"/>
      <c r="G53" s="2587"/>
      <c r="H53" s="2587"/>
      <c r="I53" s="2587"/>
      <c r="J53" s="2587"/>
      <c r="K53" s="1040"/>
      <c r="L53" s="1040"/>
      <c r="M53" s="1040"/>
      <c r="N53" s="1040"/>
      <c r="O53" s="1040"/>
      <c r="P53" s="1040"/>
      <c r="Q53" s="1040"/>
      <c r="R53" s="1040"/>
    </row>
    <row r="54" spans="1:18" s="1062" customFormat="1" ht="12.75" customHeight="1" x14ac:dyDescent="0.25">
      <c r="A54" s="2585"/>
      <c r="B54" s="2586"/>
      <c r="C54" s="2587"/>
      <c r="D54" s="2587"/>
      <c r="E54" s="2587"/>
      <c r="F54" s="2587"/>
      <c r="G54" s="2587"/>
      <c r="H54" s="2587"/>
      <c r="I54" s="2587"/>
      <c r="J54" s="2587"/>
      <c r="K54" s="1040"/>
      <c r="L54" s="1040"/>
      <c r="M54" s="1040"/>
      <c r="N54" s="1040"/>
      <c r="O54" s="1040"/>
      <c r="P54" s="1040"/>
      <c r="Q54" s="1040"/>
      <c r="R54" s="1040"/>
    </row>
    <row r="55" spans="1:18" s="1062" customFormat="1" ht="12.75" customHeight="1" x14ac:dyDescent="0.25">
      <c r="A55" s="2585"/>
      <c r="B55" s="2586"/>
      <c r="C55" s="2587"/>
      <c r="D55" s="2587"/>
      <c r="E55" s="2587"/>
      <c r="F55" s="2587"/>
      <c r="G55" s="2587"/>
      <c r="H55" s="2587"/>
      <c r="I55" s="2587"/>
      <c r="J55" s="2587"/>
      <c r="K55" s="1040"/>
      <c r="L55" s="1040"/>
      <c r="M55" s="1040"/>
      <c r="N55" s="1040"/>
      <c r="O55" s="1040"/>
      <c r="P55" s="1040"/>
      <c r="Q55" s="1040"/>
      <c r="R55" s="1040"/>
    </row>
    <row r="56" spans="1:18" s="1062" customFormat="1" ht="12.75" customHeight="1" x14ac:dyDescent="0.25">
      <c r="A56" s="2585"/>
      <c r="B56" s="2586"/>
      <c r="C56" s="2587"/>
      <c r="D56" s="2587"/>
      <c r="E56" s="2587"/>
      <c r="F56" s="2587"/>
      <c r="G56" s="2587"/>
      <c r="H56" s="2587"/>
      <c r="I56" s="2587"/>
      <c r="J56" s="2587"/>
      <c r="K56" s="1040"/>
      <c r="L56" s="1040"/>
      <c r="M56" s="1040"/>
      <c r="N56" s="1040"/>
      <c r="O56" s="1040"/>
      <c r="P56" s="1040"/>
      <c r="Q56" s="1040"/>
      <c r="R56" s="1040"/>
    </row>
    <row r="57" spans="1:18" ht="12.75" customHeight="1" x14ac:dyDescent="0.3">
      <c r="A57" s="2588"/>
      <c r="B57" s="2586"/>
      <c r="C57" s="2587"/>
      <c r="D57" s="2587"/>
      <c r="E57" s="2587"/>
      <c r="F57" s="2587"/>
      <c r="G57" s="2587"/>
      <c r="H57" s="2587"/>
      <c r="I57" s="2587"/>
      <c r="J57" s="2587"/>
      <c r="K57" s="935"/>
      <c r="L57" s="935"/>
      <c r="M57" s="935"/>
      <c r="N57" s="935"/>
      <c r="O57" s="935"/>
      <c r="P57" s="935"/>
      <c r="Q57" s="935"/>
      <c r="R57" s="935"/>
    </row>
    <row r="58" spans="1:18" ht="12.75" customHeight="1" x14ac:dyDescent="0.25">
      <c r="A58" s="2589"/>
      <c r="B58" s="2586"/>
      <c r="C58" s="2586"/>
      <c r="D58" s="2587"/>
      <c r="E58" s="2587"/>
      <c r="F58" s="2587"/>
      <c r="G58" s="2587"/>
      <c r="H58" s="2587"/>
      <c r="I58" s="2587"/>
      <c r="J58" s="2587"/>
      <c r="K58" s="2298"/>
      <c r="L58" s="2298"/>
      <c r="M58" s="2298"/>
      <c r="N58" s="2298"/>
      <c r="O58" s="2298"/>
      <c r="P58" s="2298"/>
      <c r="Q58" s="2298"/>
      <c r="R58" s="2298"/>
    </row>
    <row r="59" spans="1:18" ht="15" customHeight="1" x14ac:dyDescent="0.25">
      <c r="A59" s="2590"/>
      <c r="B59" s="2586"/>
      <c r="C59" s="2586"/>
      <c r="D59" s="2587"/>
      <c r="E59" s="2587"/>
      <c r="F59" s="2587"/>
      <c r="G59" s="2587"/>
      <c r="H59" s="2587"/>
      <c r="I59" s="2587"/>
      <c r="J59" s="2587"/>
      <c r="K59" s="238"/>
      <c r="L59" s="238"/>
      <c r="M59" s="238"/>
      <c r="N59" s="238"/>
      <c r="O59" s="238"/>
      <c r="P59" s="238"/>
      <c r="Q59" s="238"/>
      <c r="R59" s="238"/>
    </row>
    <row r="60" spans="1:18" ht="12.75" customHeight="1" x14ac:dyDescent="0.25">
      <c r="A60" s="2589"/>
      <c r="B60" s="2586"/>
      <c r="C60" s="2586"/>
      <c r="D60" s="2587"/>
      <c r="E60" s="2587"/>
      <c r="F60" s="2587"/>
      <c r="G60" s="2587"/>
      <c r="H60" s="2587"/>
      <c r="I60" s="2587"/>
      <c r="J60" s="2587"/>
      <c r="K60" s="238"/>
      <c r="L60" s="238"/>
      <c r="M60" s="238"/>
      <c r="N60" s="238"/>
      <c r="O60" s="238"/>
      <c r="P60" s="238"/>
      <c r="Q60" s="238"/>
      <c r="R60" s="238"/>
    </row>
    <row r="61" spans="1:18" ht="12.75" customHeight="1" x14ac:dyDescent="0.25">
      <c r="A61" s="2585"/>
      <c r="B61" s="2586"/>
      <c r="C61" s="2587"/>
      <c r="D61" s="2587"/>
      <c r="E61" s="2587"/>
      <c r="F61" s="2587"/>
      <c r="G61" s="2587"/>
      <c r="H61" s="2587"/>
      <c r="I61" s="2587"/>
      <c r="J61" s="2587"/>
      <c r="K61" s="2090"/>
      <c r="L61" s="2090"/>
      <c r="M61" s="2090"/>
      <c r="N61" s="2090"/>
      <c r="O61" s="2090"/>
      <c r="P61" s="2090"/>
      <c r="Q61" s="2090"/>
      <c r="R61" s="2090"/>
    </row>
    <row r="62" spans="1:18" ht="12.75" customHeight="1" x14ac:dyDescent="0.25">
      <c r="A62" s="2585"/>
      <c r="B62" s="2586"/>
      <c r="C62" s="2587"/>
      <c r="D62" s="2587"/>
      <c r="E62" s="2587"/>
      <c r="F62" s="2587"/>
      <c r="G62" s="2587"/>
      <c r="H62" s="2587"/>
      <c r="I62" s="2587"/>
      <c r="J62" s="2587"/>
      <c r="K62" s="2090"/>
      <c r="L62" s="2090"/>
      <c r="M62" s="2090"/>
      <c r="N62" s="2090"/>
      <c r="O62" s="2090"/>
      <c r="P62" s="2090"/>
      <c r="Q62" s="2090"/>
      <c r="R62" s="2090"/>
    </row>
    <row r="63" spans="1:18" ht="12.75" customHeight="1" x14ac:dyDescent="0.25">
      <c r="A63" s="2585"/>
      <c r="B63" s="2586"/>
      <c r="C63" s="2587"/>
      <c r="D63" s="2587"/>
      <c r="E63" s="2587"/>
      <c r="F63" s="2587"/>
      <c r="G63" s="2587"/>
      <c r="H63" s="2587"/>
      <c r="I63" s="2587"/>
      <c r="J63" s="2587"/>
      <c r="K63" s="2090"/>
      <c r="L63" s="2090"/>
      <c r="M63" s="2090"/>
      <c r="N63" s="2090"/>
      <c r="O63" s="2090"/>
      <c r="P63" s="2090"/>
      <c r="Q63" s="2090"/>
      <c r="R63" s="2090"/>
    </row>
    <row r="64" spans="1:18" ht="12.75" customHeight="1" x14ac:dyDescent="0.25">
      <c r="A64" s="2585"/>
      <c r="B64" s="2586"/>
      <c r="C64" s="2587"/>
      <c r="D64" s="2587"/>
      <c r="E64" s="2587"/>
      <c r="F64" s="2587"/>
      <c r="G64" s="2587"/>
      <c r="H64" s="2587"/>
      <c r="I64" s="2587"/>
      <c r="J64" s="2587"/>
      <c r="K64" s="2090"/>
      <c r="L64" s="2090"/>
      <c r="M64" s="2090"/>
      <c r="N64" s="2090"/>
      <c r="O64" s="2090"/>
      <c r="P64" s="2090"/>
      <c r="Q64" s="2090"/>
      <c r="R64" s="2090"/>
    </row>
    <row r="65" spans="1:18" ht="12.75" customHeight="1" x14ac:dyDescent="0.25">
      <c r="A65" s="2585"/>
      <c r="B65" s="2586"/>
      <c r="C65" s="2587"/>
      <c r="D65" s="2587"/>
      <c r="E65" s="2587"/>
      <c r="F65" s="2587"/>
      <c r="G65" s="2587"/>
      <c r="H65" s="2587"/>
      <c r="I65" s="2587"/>
      <c r="J65" s="2587"/>
      <c r="K65" s="2090"/>
      <c r="L65" s="2090"/>
      <c r="M65" s="2090"/>
      <c r="N65" s="2090"/>
      <c r="O65" s="2090"/>
      <c r="P65" s="2090"/>
      <c r="Q65" s="2090"/>
      <c r="R65" s="2090"/>
    </row>
    <row r="66" spans="1:18" ht="12.75" customHeight="1" x14ac:dyDescent="0.25">
      <c r="A66" s="2585"/>
      <c r="B66" s="2586"/>
      <c r="C66" s="2587"/>
      <c r="D66" s="2587"/>
      <c r="E66" s="2587"/>
      <c r="F66" s="2587"/>
      <c r="G66" s="2587"/>
      <c r="H66" s="2587"/>
      <c r="I66" s="2587"/>
      <c r="J66" s="2587"/>
      <c r="K66" s="2090"/>
      <c r="L66" s="2090"/>
      <c r="M66" s="2090"/>
      <c r="N66" s="2090"/>
      <c r="O66" s="2090"/>
      <c r="P66" s="2090"/>
      <c r="Q66" s="2090"/>
      <c r="R66" s="2090"/>
    </row>
    <row r="67" spans="1:18" ht="12.75" customHeight="1" x14ac:dyDescent="0.25">
      <c r="A67" s="2585"/>
      <c r="B67" s="2586"/>
      <c r="C67" s="2587"/>
      <c r="D67" s="2587"/>
      <c r="E67" s="2587"/>
      <c r="F67" s="2587"/>
      <c r="G67" s="2587"/>
      <c r="H67" s="2587"/>
      <c r="I67" s="2587"/>
      <c r="J67" s="2587"/>
      <c r="K67" s="2090"/>
      <c r="L67" s="2090"/>
      <c r="M67" s="2090"/>
      <c r="N67" s="2090"/>
      <c r="O67" s="2090"/>
      <c r="P67" s="2090"/>
      <c r="Q67" s="2090"/>
      <c r="R67" s="2090"/>
    </row>
    <row r="68" spans="1:18" ht="12.75" customHeight="1" x14ac:dyDescent="0.25">
      <c r="A68" s="2585"/>
      <c r="B68" s="2586"/>
      <c r="C68" s="2587"/>
      <c r="D68" s="2587"/>
      <c r="E68" s="2587"/>
      <c r="F68" s="2587"/>
      <c r="G68" s="2587"/>
      <c r="H68" s="2587"/>
      <c r="I68" s="2587"/>
      <c r="J68" s="2587"/>
      <c r="K68" s="2090"/>
      <c r="L68" s="2090"/>
      <c r="M68" s="2090"/>
      <c r="N68" s="2090"/>
      <c r="O68" s="2090"/>
      <c r="P68" s="2090"/>
      <c r="Q68" s="2090"/>
      <c r="R68" s="2090"/>
    </row>
    <row r="69" spans="1:18" ht="12.75" customHeight="1" x14ac:dyDescent="0.25">
      <c r="A69" s="2585"/>
      <c r="B69" s="2586"/>
      <c r="C69" s="2587"/>
      <c r="D69" s="2587"/>
      <c r="E69" s="2587"/>
      <c r="F69" s="2587"/>
      <c r="G69" s="2587"/>
      <c r="H69" s="2587"/>
      <c r="I69" s="2587"/>
      <c r="J69" s="2587"/>
      <c r="K69" s="2090"/>
      <c r="L69" s="2090"/>
      <c r="M69" s="2090"/>
      <c r="N69" s="2090"/>
      <c r="O69" s="2090"/>
      <c r="P69" s="2090"/>
      <c r="Q69" s="2090"/>
      <c r="R69" s="2090"/>
    </row>
    <row r="70" spans="1:18" ht="12.75" customHeight="1" x14ac:dyDescent="0.25">
      <c r="A70" s="2585"/>
      <c r="B70" s="2586"/>
      <c r="C70" s="2587"/>
      <c r="D70" s="2587"/>
      <c r="E70" s="2587"/>
      <c r="F70" s="2587"/>
      <c r="G70" s="2587"/>
      <c r="H70" s="2587"/>
      <c r="I70" s="2587"/>
      <c r="J70" s="2587"/>
      <c r="K70" s="2090"/>
      <c r="L70" s="2090"/>
      <c r="M70" s="2090"/>
      <c r="N70" s="2090"/>
      <c r="O70" s="2090"/>
      <c r="P70" s="2090"/>
      <c r="Q70" s="2090"/>
      <c r="R70" s="2090"/>
    </row>
    <row r="71" spans="1:18" ht="12.75" customHeight="1" x14ac:dyDescent="0.25">
      <c r="A71" s="2585"/>
      <c r="B71" s="2586"/>
      <c r="C71" s="2587"/>
      <c r="D71" s="2587"/>
      <c r="E71" s="2587"/>
      <c r="F71" s="2587"/>
      <c r="G71" s="2587"/>
      <c r="H71" s="2587"/>
      <c r="I71" s="2587"/>
      <c r="J71" s="2587"/>
      <c r="K71" s="2090"/>
      <c r="L71" s="2090"/>
      <c r="M71" s="2090"/>
      <c r="N71" s="2090"/>
      <c r="O71" s="2090"/>
      <c r="P71" s="2090"/>
      <c r="Q71" s="2090"/>
      <c r="R71" s="2090"/>
    </row>
    <row r="72" spans="1:18" ht="12.75" customHeight="1" x14ac:dyDescent="0.25">
      <c r="A72" s="2585"/>
      <c r="B72" s="2586"/>
      <c r="C72" s="2587"/>
      <c r="D72" s="2587"/>
      <c r="E72" s="2587"/>
      <c r="F72" s="2587"/>
      <c r="G72" s="2587"/>
      <c r="H72" s="2587"/>
      <c r="I72" s="2587"/>
      <c r="J72" s="2587"/>
      <c r="K72" s="2090"/>
      <c r="L72" s="2090"/>
      <c r="M72" s="2090"/>
      <c r="N72" s="2090"/>
      <c r="O72" s="2090"/>
      <c r="P72" s="2090"/>
      <c r="Q72" s="2090"/>
      <c r="R72" s="2090"/>
    </row>
    <row r="73" spans="1:18" ht="12.75" customHeight="1" x14ac:dyDescent="0.25">
      <c r="A73" s="2585"/>
      <c r="B73" s="2586"/>
      <c r="C73" s="2587"/>
      <c r="D73" s="2587"/>
      <c r="E73" s="2587"/>
      <c r="F73" s="2587"/>
      <c r="G73" s="2587"/>
      <c r="H73" s="2587"/>
      <c r="I73" s="2587"/>
      <c r="J73" s="2587"/>
      <c r="K73" s="2090"/>
      <c r="L73" s="2090"/>
      <c r="M73" s="2090"/>
      <c r="N73" s="2090"/>
      <c r="O73" s="2090"/>
      <c r="P73" s="2090"/>
      <c r="Q73" s="2090"/>
      <c r="R73" s="2090"/>
    </row>
    <row r="74" spans="1:18" ht="12.75" customHeight="1" x14ac:dyDescent="0.25">
      <c r="A74" s="2585"/>
      <c r="B74" s="2586"/>
      <c r="C74" s="2587"/>
      <c r="D74" s="2587"/>
      <c r="E74" s="2587"/>
      <c r="F74" s="2587"/>
      <c r="G74" s="2587"/>
      <c r="H74" s="2587"/>
      <c r="I74" s="2587"/>
      <c r="J74" s="2587"/>
      <c r="K74" s="2090"/>
      <c r="L74" s="2090"/>
      <c r="M74" s="2090"/>
      <c r="N74" s="2090"/>
      <c r="O74" s="2090"/>
      <c r="P74" s="2090"/>
      <c r="Q74" s="2090"/>
      <c r="R74" s="2090"/>
    </row>
    <row r="75" spans="1:18" ht="12.75" customHeight="1" x14ac:dyDescent="0.25">
      <c r="A75" s="2585"/>
      <c r="B75" s="2586"/>
      <c r="C75" s="2587"/>
      <c r="D75" s="2587"/>
      <c r="E75" s="2587"/>
      <c r="F75" s="2587"/>
      <c r="G75" s="2587"/>
      <c r="H75" s="2587"/>
      <c r="I75" s="2587"/>
      <c r="J75" s="2587"/>
      <c r="K75" s="2090"/>
      <c r="L75" s="2090"/>
      <c r="M75" s="2090"/>
      <c r="N75" s="2090"/>
      <c r="O75" s="2090"/>
      <c r="P75" s="2090"/>
      <c r="Q75" s="2090"/>
      <c r="R75" s="2090"/>
    </row>
    <row r="76" spans="1:18" ht="12.75" customHeight="1" x14ac:dyDescent="0.25">
      <c r="A76" s="2585"/>
      <c r="B76" s="2586"/>
      <c r="C76" s="2587"/>
      <c r="D76" s="2587"/>
      <c r="E76" s="2587"/>
      <c r="F76" s="2587"/>
      <c r="G76" s="2587"/>
      <c r="H76" s="2587"/>
      <c r="I76" s="2587"/>
      <c r="J76" s="2587"/>
      <c r="K76" s="2090"/>
      <c r="L76" s="2090"/>
      <c r="M76" s="2090"/>
      <c r="N76" s="2090"/>
      <c r="O76" s="2090"/>
      <c r="P76" s="2090"/>
      <c r="Q76" s="2090"/>
      <c r="R76" s="2090"/>
    </row>
    <row r="77" spans="1:18" ht="12.75" customHeight="1" x14ac:dyDescent="0.25">
      <c r="A77" s="2585"/>
      <c r="B77" s="2586"/>
      <c r="C77" s="2587"/>
      <c r="D77" s="2587"/>
      <c r="E77" s="2587"/>
      <c r="F77" s="2587"/>
      <c r="G77" s="2587"/>
      <c r="H77" s="2587"/>
      <c r="I77" s="2587"/>
      <c r="J77" s="2587"/>
      <c r="K77" s="2090"/>
      <c r="L77" s="2090"/>
      <c r="M77" s="2090"/>
      <c r="N77" s="2090"/>
      <c r="O77" s="2090"/>
      <c r="P77" s="2090"/>
      <c r="Q77" s="2090"/>
      <c r="R77" s="2090"/>
    </row>
    <row r="78" spans="1:18" ht="12.75" customHeight="1" x14ac:dyDescent="0.25">
      <c r="A78" s="2585"/>
      <c r="B78" s="2586"/>
      <c r="C78" s="2587"/>
      <c r="D78" s="2587"/>
      <c r="E78" s="2587"/>
      <c r="F78" s="2587"/>
      <c r="G78" s="2587"/>
      <c r="H78" s="2587"/>
      <c r="I78" s="2587"/>
      <c r="J78" s="2587"/>
      <c r="K78" s="2090"/>
      <c r="L78" s="2090"/>
      <c r="M78" s="2090"/>
      <c r="N78" s="2090"/>
      <c r="O78" s="2090"/>
      <c r="P78" s="2090"/>
      <c r="Q78" s="2090"/>
      <c r="R78" s="2090"/>
    </row>
    <row r="79" spans="1:18" ht="12.75" customHeight="1" x14ac:dyDescent="0.25">
      <c r="A79" s="2585"/>
      <c r="B79" s="2586"/>
      <c r="C79" s="2587"/>
      <c r="D79" s="2587"/>
      <c r="E79" s="2587"/>
      <c r="F79" s="2587"/>
      <c r="G79" s="2587"/>
      <c r="H79" s="2587"/>
      <c r="I79" s="2587"/>
      <c r="J79" s="2587"/>
      <c r="K79" s="2090"/>
      <c r="L79" s="2090"/>
      <c r="M79" s="2090"/>
      <c r="N79" s="2090"/>
      <c r="O79" s="2090"/>
      <c r="P79" s="2090"/>
      <c r="Q79" s="2090"/>
      <c r="R79" s="2090"/>
    </row>
    <row r="80" spans="1:18" ht="12.75" customHeight="1" x14ac:dyDescent="0.25">
      <c r="A80" s="2588"/>
      <c r="B80" s="2586"/>
      <c r="C80" s="2587"/>
      <c r="D80" s="2587"/>
      <c r="E80" s="2587"/>
      <c r="F80" s="2587"/>
      <c r="G80" s="2587"/>
      <c r="H80" s="2587"/>
      <c r="I80" s="2587"/>
      <c r="J80" s="2587"/>
      <c r="K80" s="2307"/>
      <c r="L80" s="2307"/>
      <c r="M80" s="2307"/>
      <c r="N80" s="2307"/>
      <c r="O80" s="2307"/>
      <c r="P80" s="2307"/>
      <c r="Q80" s="2307"/>
      <c r="R80" s="2307"/>
    </row>
    <row r="81" spans="1:18" ht="5.15" customHeight="1" x14ac:dyDescent="0.25">
      <c r="A81" s="2589"/>
      <c r="B81" s="2586"/>
      <c r="C81" s="2586"/>
      <c r="D81" s="2587"/>
      <c r="E81" s="2587"/>
      <c r="F81" s="2587"/>
      <c r="G81" s="2587"/>
      <c r="H81" s="2587"/>
      <c r="I81" s="2587"/>
      <c r="J81" s="2587"/>
      <c r="K81" s="2309"/>
      <c r="L81" s="2309"/>
      <c r="M81" s="2309"/>
      <c r="N81" s="2309"/>
      <c r="O81" s="2309"/>
      <c r="P81" s="2309"/>
      <c r="Q81" s="2309"/>
      <c r="R81" s="2309"/>
    </row>
    <row r="82" spans="1:18" ht="12.75" customHeight="1" x14ac:dyDescent="0.25">
      <c r="A82" s="2590"/>
      <c r="B82" s="2586"/>
      <c r="C82" s="2586"/>
      <c r="D82" s="2587"/>
      <c r="E82" s="2587"/>
      <c r="F82" s="2587"/>
      <c r="G82" s="2587"/>
      <c r="H82" s="2587"/>
      <c r="I82" s="2587"/>
      <c r="J82" s="2587"/>
      <c r="K82" s="2310"/>
      <c r="L82" s="2310"/>
      <c r="M82" s="2310"/>
      <c r="N82" s="2310"/>
      <c r="O82" s="2310"/>
      <c r="P82" s="2310"/>
      <c r="Q82" s="2310"/>
      <c r="R82" s="2310"/>
    </row>
    <row r="83" spans="1:18" ht="12.75" customHeight="1" x14ac:dyDescent="0.25">
      <c r="A83" s="2589"/>
      <c r="B83" s="2586"/>
      <c r="C83" s="2586"/>
      <c r="D83" s="2587"/>
      <c r="E83" s="2587"/>
      <c r="F83" s="2587"/>
      <c r="G83" s="2587"/>
      <c r="H83" s="2587"/>
      <c r="I83" s="2587"/>
      <c r="J83" s="2587"/>
      <c r="K83" s="2309"/>
      <c r="L83" s="2309"/>
      <c r="M83" s="2309"/>
      <c r="N83" s="2309"/>
      <c r="O83" s="2309"/>
      <c r="P83" s="2309"/>
      <c r="Q83" s="2309"/>
      <c r="R83" s="2309"/>
    </row>
    <row r="84" spans="1:18" ht="12.75" customHeight="1" x14ac:dyDescent="0.25">
      <c r="A84" s="2585"/>
      <c r="B84" s="2586"/>
      <c r="C84" s="2587"/>
      <c r="D84" s="2587"/>
      <c r="E84" s="2587"/>
      <c r="F84" s="2587"/>
      <c r="G84" s="2587"/>
      <c r="H84" s="2587"/>
      <c r="I84" s="2587"/>
      <c r="J84" s="2587"/>
      <c r="K84" s="2309"/>
      <c r="L84" s="2309"/>
      <c r="M84" s="2309"/>
      <c r="N84" s="2309"/>
      <c r="O84" s="2309"/>
      <c r="P84" s="2309"/>
      <c r="Q84" s="2309"/>
      <c r="R84" s="2309"/>
    </row>
    <row r="85" spans="1:18" ht="12.75" customHeight="1" x14ac:dyDescent="0.25">
      <c r="A85" s="2585"/>
      <c r="B85" s="2586"/>
      <c r="C85" s="2587"/>
      <c r="D85" s="2587"/>
      <c r="E85" s="2587"/>
      <c r="F85" s="2587"/>
      <c r="G85" s="2587"/>
      <c r="H85" s="2587"/>
      <c r="I85" s="2587"/>
      <c r="J85" s="2587"/>
      <c r="K85" s="2309"/>
      <c r="L85" s="2309"/>
      <c r="M85" s="2309"/>
      <c r="N85" s="2309"/>
      <c r="O85" s="2309"/>
      <c r="P85" s="2309"/>
      <c r="Q85" s="2309"/>
      <c r="R85" s="2309"/>
    </row>
    <row r="86" spans="1:18" ht="12.75" customHeight="1" x14ac:dyDescent="0.25">
      <c r="A86" s="2585"/>
      <c r="B86" s="2586"/>
      <c r="C86" s="2587"/>
      <c r="D86" s="2587"/>
      <c r="E86" s="2587"/>
      <c r="F86" s="2587"/>
      <c r="G86" s="2587"/>
      <c r="H86" s="2587"/>
      <c r="I86" s="2587"/>
      <c r="J86" s="2587"/>
      <c r="K86" s="2309"/>
      <c r="L86" s="2309"/>
      <c r="M86" s="2309"/>
      <c r="N86" s="2309"/>
      <c r="O86" s="2309"/>
      <c r="P86" s="2309"/>
      <c r="Q86" s="2309"/>
      <c r="R86" s="2309"/>
    </row>
    <row r="87" spans="1:18" ht="12.75" customHeight="1" x14ac:dyDescent="0.25">
      <c r="A87" s="2585"/>
      <c r="B87" s="2586"/>
      <c r="C87" s="2587"/>
      <c r="D87" s="2587"/>
      <c r="E87" s="2587"/>
      <c r="F87" s="2587"/>
      <c r="G87" s="2587"/>
      <c r="H87" s="2587"/>
      <c r="I87" s="2587"/>
      <c r="J87" s="2587"/>
      <c r="K87" s="2309"/>
      <c r="L87" s="2309"/>
      <c r="M87" s="2309"/>
      <c r="N87" s="2309"/>
      <c r="O87" s="2309"/>
      <c r="P87" s="2309"/>
      <c r="Q87" s="2309"/>
      <c r="R87" s="2309"/>
    </row>
    <row r="88" spans="1:18" ht="5.15" customHeight="1" x14ac:dyDescent="0.25">
      <c r="A88" s="2590"/>
      <c r="B88" s="2591"/>
      <c r="C88" s="2591"/>
      <c r="D88" s="2364"/>
      <c r="E88" s="2364"/>
      <c r="F88" s="2364"/>
      <c r="G88" s="2364"/>
      <c r="H88" s="2364"/>
      <c r="I88" s="2364"/>
      <c r="J88" s="2364"/>
      <c r="K88" s="2309"/>
      <c r="L88" s="2309"/>
      <c r="M88" s="2309"/>
      <c r="N88" s="2309"/>
      <c r="O88" s="2309"/>
      <c r="P88" s="2309"/>
      <c r="Q88" s="2309"/>
      <c r="R88" s="2309"/>
    </row>
    <row r="89" spans="1:18" ht="11.25" customHeight="1" x14ac:dyDescent="0.25">
      <c r="A89" s="1157"/>
      <c r="B89" s="704"/>
      <c r="C89" s="704"/>
      <c r="D89" s="705"/>
      <c r="E89" s="705"/>
      <c r="F89" s="705"/>
      <c r="G89" s="706"/>
      <c r="H89" s="705"/>
      <c r="I89" s="705"/>
      <c r="J89" s="707"/>
      <c r="K89" s="603"/>
      <c r="L89" s="603"/>
      <c r="M89" s="603"/>
      <c r="N89" s="603"/>
      <c r="O89" s="603"/>
      <c r="P89" s="603"/>
      <c r="Q89" s="603"/>
      <c r="R89" s="603"/>
    </row>
    <row r="90" spans="1:18" ht="11.25" customHeight="1" x14ac:dyDescent="0.25">
      <c r="A90" s="1417"/>
      <c r="B90" s="2558"/>
      <c r="C90" s="2558"/>
      <c r="D90" s="1415"/>
      <c r="E90" s="1415"/>
      <c r="F90" s="1415"/>
      <c r="G90" s="1415"/>
      <c r="H90" s="1415"/>
      <c r="I90" s="1415"/>
      <c r="J90" s="1415"/>
      <c r="K90" s="2311"/>
      <c r="L90" s="2311"/>
      <c r="M90" s="2311"/>
      <c r="N90" s="2311"/>
      <c r="O90" s="2311"/>
      <c r="P90" s="2311"/>
      <c r="Q90" s="2311"/>
      <c r="R90" s="2311"/>
    </row>
    <row r="91" spans="1:18" ht="11.25" customHeight="1" x14ac:dyDescent="0.25">
      <c r="A91" s="1417"/>
      <c r="B91" s="2558"/>
      <c r="C91" s="2558"/>
      <c r="D91" s="1415"/>
      <c r="E91" s="1415"/>
      <c r="F91" s="1415"/>
      <c r="G91" s="1415"/>
      <c r="H91" s="1415"/>
      <c r="I91" s="1415"/>
      <c r="J91" s="1415"/>
      <c r="K91" s="2311"/>
      <c r="L91" s="2311"/>
      <c r="M91" s="2311"/>
      <c r="N91" s="2311"/>
      <c r="O91" s="2311"/>
      <c r="P91" s="2311"/>
      <c r="Q91" s="2311"/>
      <c r="R91" s="2311"/>
    </row>
    <row r="92" spans="1:18" ht="11.25" customHeight="1" x14ac:dyDescent="0.25">
      <c r="A92" s="2559"/>
      <c r="B92" s="2560"/>
      <c r="C92" s="2561"/>
      <c r="D92" s="2561"/>
      <c r="E92" s="2561"/>
      <c r="F92" s="2561"/>
      <c r="G92" s="2561"/>
      <c r="H92" s="2561"/>
      <c r="I92" s="2561"/>
      <c r="J92" s="2561"/>
      <c r="K92" s="2311"/>
      <c r="L92" s="2311"/>
      <c r="M92" s="2311"/>
      <c r="N92" s="2311"/>
      <c r="O92" s="2311"/>
      <c r="P92" s="2311"/>
      <c r="Q92" s="2311"/>
      <c r="R92" s="2311"/>
    </row>
    <row r="93" spans="1:18" ht="11.25" customHeight="1" x14ac:dyDescent="0.25">
      <c r="A93" s="2299"/>
      <c r="C93" s="2311"/>
      <c r="D93" s="2311"/>
      <c r="E93" s="2311"/>
      <c r="F93" s="2311"/>
      <c r="G93" s="2311"/>
      <c r="H93" s="2311"/>
      <c r="I93" s="2311"/>
      <c r="J93" s="2311"/>
      <c r="K93" s="2311"/>
      <c r="L93" s="2311"/>
      <c r="M93" s="2311"/>
      <c r="N93" s="2311"/>
      <c r="O93" s="2311"/>
      <c r="P93" s="2311"/>
      <c r="Q93" s="2311"/>
      <c r="R93" s="2311"/>
    </row>
    <row r="94" spans="1:18" ht="21" customHeight="1" x14ac:dyDescent="0.25">
      <c r="A94" s="2573"/>
      <c r="B94" s="2309"/>
      <c r="C94" s="2311"/>
      <c r="D94" s="2311"/>
      <c r="E94" s="2311"/>
      <c r="F94" s="2311"/>
      <c r="G94" s="2311"/>
      <c r="H94" s="2311"/>
      <c r="I94" s="2311"/>
      <c r="J94" s="2311"/>
      <c r="K94" s="2311"/>
      <c r="L94" s="2311"/>
      <c r="M94" s="2311"/>
      <c r="N94" s="2311"/>
      <c r="O94" s="2311"/>
      <c r="P94" s="2311"/>
      <c r="Q94" s="2311"/>
      <c r="R94" s="2311"/>
    </row>
    <row r="95" spans="1:18" ht="22.5" customHeight="1" x14ac:dyDescent="0.25">
      <c r="A95" s="2740"/>
      <c r="B95" s="2740"/>
      <c r="C95" s="2741"/>
      <c r="D95" s="2741"/>
      <c r="E95" s="2741"/>
      <c r="F95" s="2741"/>
      <c r="G95" s="2741"/>
      <c r="H95" s="2569"/>
      <c r="I95" s="2569"/>
      <c r="J95" s="2569"/>
      <c r="K95" s="2311"/>
      <c r="L95" s="2311"/>
      <c r="M95" s="2311"/>
      <c r="N95" s="2311"/>
      <c r="O95" s="2311"/>
      <c r="P95" s="2311"/>
      <c r="Q95" s="2311"/>
      <c r="R95" s="2311"/>
    </row>
    <row r="96" spans="1:18" ht="36.75" customHeight="1" x14ac:dyDescent="0.25">
      <c r="A96" s="2740"/>
      <c r="B96" s="2740"/>
      <c r="C96" s="2741"/>
      <c r="D96" s="2741"/>
      <c r="E96" s="2741"/>
      <c r="F96" s="2741"/>
      <c r="G96" s="2741"/>
      <c r="H96" s="2568"/>
      <c r="I96" s="2568"/>
      <c r="J96" s="2568"/>
      <c r="K96" s="2301"/>
      <c r="L96" s="2301"/>
      <c r="M96" s="2301"/>
      <c r="N96" s="2301"/>
      <c r="O96" s="2301"/>
      <c r="P96" s="2301"/>
      <c r="Q96" s="2301"/>
      <c r="R96" s="2301"/>
    </row>
    <row r="97" spans="1:18" ht="21.75" customHeight="1" x14ac:dyDescent="0.25">
      <c r="A97" s="2574"/>
      <c r="B97" s="2570"/>
      <c r="C97" s="2571"/>
      <c r="D97" s="2571"/>
      <c r="E97" s="2571"/>
      <c r="F97" s="2571"/>
      <c r="G97" s="2571"/>
      <c r="H97" s="2571"/>
      <c r="I97" s="2571"/>
      <c r="J97" s="2571"/>
      <c r="K97" s="2312"/>
      <c r="L97" s="2312"/>
      <c r="M97" s="2312"/>
      <c r="N97" s="2312"/>
      <c r="O97" s="2312"/>
      <c r="P97" s="2312"/>
      <c r="Q97" s="2312"/>
      <c r="R97" s="2312"/>
    </row>
    <row r="98" spans="1:18" ht="11.5" customHeight="1" x14ac:dyDescent="0.25">
      <c r="A98" s="2575"/>
      <c r="B98" s="2570"/>
      <c r="C98" s="2571"/>
      <c r="D98" s="2571"/>
      <c r="E98" s="2571"/>
      <c r="F98" s="2571"/>
      <c r="G98" s="2571"/>
      <c r="H98" s="2571"/>
      <c r="I98" s="2571"/>
      <c r="J98" s="2571"/>
      <c r="K98" s="2312"/>
      <c r="L98" s="2312"/>
      <c r="M98" s="2312"/>
      <c r="N98" s="2312"/>
      <c r="O98" s="2312"/>
      <c r="P98" s="2312"/>
      <c r="Q98" s="2312"/>
      <c r="R98" s="2312"/>
    </row>
    <row r="99" spans="1:18" ht="11.5" customHeight="1" x14ac:dyDescent="0.25">
      <c r="A99" s="2575"/>
      <c r="B99" s="2570"/>
      <c r="C99" s="2571"/>
      <c r="D99" s="2571"/>
      <c r="E99" s="2571"/>
      <c r="F99" s="2571"/>
      <c r="G99" s="2571"/>
      <c r="H99" s="2571"/>
      <c r="I99" s="2571"/>
      <c r="J99" s="2571"/>
      <c r="K99" s="2312"/>
      <c r="L99" s="2312"/>
      <c r="M99" s="2312"/>
      <c r="N99" s="2312"/>
      <c r="O99" s="2312"/>
      <c r="P99" s="2312"/>
      <c r="Q99" s="2312"/>
      <c r="R99" s="2312"/>
    </row>
    <row r="100" spans="1:18" ht="11.5" customHeight="1" x14ac:dyDescent="0.25">
      <c r="A100" s="2575"/>
      <c r="B100" s="2570"/>
      <c r="C100" s="2571"/>
      <c r="D100" s="2571"/>
      <c r="E100" s="2571"/>
      <c r="F100" s="2571"/>
      <c r="G100" s="2571"/>
      <c r="H100" s="2571"/>
      <c r="I100" s="2571"/>
      <c r="J100" s="2571"/>
      <c r="K100" s="2312"/>
      <c r="L100" s="2312"/>
      <c r="M100" s="2312"/>
      <c r="N100" s="2312"/>
      <c r="O100" s="2312"/>
      <c r="P100" s="2312"/>
      <c r="Q100" s="2312"/>
      <c r="R100" s="2312"/>
    </row>
    <row r="101" spans="1:18" ht="21" customHeight="1" x14ac:dyDescent="0.25">
      <c r="A101" s="2574"/>
      <c r="B101" s="2570"/>
      <c r="C101" s="2571"/>
      <c r="D101" s="2571"/>
      <c r="E101" s="2571"/>
      <c r="F101" s="2571"/>
      <c r="G101" s="2571"/>
      <c r="H101" s="2571"/>
      <c r="I101" s="2571"/>
      <c r="J101" s="2571"/>
      <c r="K101" s="2312"/>
      <c r="L101" s="2312"/>
      <c r="M101" s="2312"/>
      <c r="N101" s="2312"/>
      <c r="O101" s="2312"/>
      <c r="P101" s="2312"/>
      <c r="Q101" s="2312"/>
      <c r="R101" s="2312"/>
    </row>
    <row r="102" spans="1:18" ht="11.5" customHeight="1" x14ac:dyDescent="0.25">
      <c r="A102" s="2575"/>
      <c r="B102" s="2570"/>
      <c r="C102" s="2571"/>
      <c r="D102" s="2571"/>
      <c r="E102" s="2571"/>
      <c r="F102" s="2571"/>
      <c r="G102" s="2571"/>
      <c r="H102" s="2571"/>
      <c r="I102" s="2571"/>
      <c r="J102" s="2571"/>
      <c r="K102" s="2312"/>
      <c r="L102" s="2312"/>
      <c r="M102" s="2312"/>
      <c r="N102" s="2312"/>
      <c r="O102" s="2312"/>
      <c r="P102" s="2312"/>
      <c r="Q102" s="2312"/>
      <c r="R102" s="2312"/>
    </row>
    <row r="103" spans="1:18" ht="11.5" customHeight="1" x14ac:dyDescent="0.25">
      <c r="A103" s="2575"/>
      <c r="B103" s="2570"/>
      <c r="C103" s="2571"/>
      <c r="D103" s="2571"/>
      <c r="E103" s="2571"/>
      <c r="F103" s="2571"/>
      <c r="G103" s="2571"/>
      <c r="H103" s="2571"/>
      <c r="I103" s="2571"/>
      <c r="J103" s="2571"/>
      <c r="K103" s="2312"/>
      <c r="L103" s="2312"/>
      <c r="M103" s="2312"/>
      <c r="N103" s="2312"/>
      <c r="O103" s="2312"/>
      <c r="P103" s="2312"/>
      <c r="Q103" s="2312"/>
      <c r="R103" s="2312"/>
    </row>
    <row r="104" spans="1:18" ht="11.5" customHeight="1" x14ac:dyDescent="0.25">
      <c r="A104" s="2575"/>
      <c r="B104" s="2570"/>
      <c r="C104" s="2571"/>
      <c r="D104" s="2571"/>
      <c r="E104" s="2571"/>
      <c r="F104" s="2571"/>
      <c r="G104" s="2571"/>
      <c r="H104" s="2571"/>
      <c r="I104" s="2571"/>
      <c r="J104" s="2571"/>
      <c r="K104" s="2312"/>
      <c r="L104" s="2312"/>
      <c r="M104" s="2312"/>
      <c r="N104" s="2312"/>
      <c r="O104" s="2312"/>
      <c r="P104" s="2312"/>
      <c r="Q104" s="2312"/>
      <c r="R104" s="2312"/>
    </row>
    <row r="105" spans="1:18" ht="11.5" customHeight="1" x14ac:dyDescent="0.25">
      <c r="A105" s="2575"/>
      <c r="B105" s="2570"/>
      <c r="C105" s="2571"/>
      <c r="D105" s="2571"/>
      <c r="E105" s="2571"/>
      <c r="F105" s="2571"/>
      <c r="G105" s="2571"/>
      <c r="H105" s="2571"/>
      <c r="I105" s="2571"/>
      <c r="J105" s="2571"/>
      <c r="K105" s="2312"/>
      <c r="L105" s="2312"/>
      <c r="M105" s="2312"/>
      <c r="N105" s="2312"/>
      <c r="O105" s="2312"/>
      <c r="P105" s="2312"/>
      <c r="Q105" s="2312"/>
      <c r="R105" s="2312"/>
    </row>
    <row r="106" spans="1:18" ht="21" customHeight="1" x14ac:dyDescent="0.25">
      <c r="A106" s="2574"/>
      <c r="B106" s="2570"/>
      <c r="C106" s="2571"/>
      <c r="D106" s="2571"/>
      <c r="E106" s="2571"/>
      <c r="F106" s="2571"/>
      <c r="G106" s="2571"/>
      <c r="H106" s="2571"/>
      <c r="I106" s="2571"/>
      <c r="J106" s="2571"/>
      <c r="K106" s="2312"/>
      <c r="L106" s="2312"/>
      <c r="M106" s="2312"/>
      <c r="N106" s="2312"/>
      <c r="O106" s="2312"/>
      <c r="P106" s="2312"/>
      <c r="Q106" s="2312"/>
      <c r="R106" s="2312"/>
    </row>
    <row r="107" spans="1:18" ht="11.5" customHeight="1" x14ac:dyDescent="0.25">
      <c r="A107" s="2575"/>
      <c r="B107" s="2570"/>
      <c r="C107" s="2571"/>
      <c r="D107" s="2571"/>
      <c r="E107" s="2571"/>
      <c r="F107" s="2571"/>
      <c r="G107" s="2571"/>
      <c r="H107" s="2571"/>
      <c r="I107" s="2571"/>
      <c r="J107" s="2571"/>
      <c r="K107" s="2312"/>
      <c r="L107" s="2312"/>
      <c r="M107" s="2312"/>
      <c r="N107" s="2312"/>
      <c r="O107" s="2312"/>
      <c r="P107" s="2312"/>
      <c r="Q107" s="2312"/>
      <c r="R107" s="2312"/>
    </row>
    <row r="108" spans="1:18" ht="11.5" customHeight="1" x14ac:dyDescent="0.25">
      <c r="A108" s="2575"/>
      <c r="B108" s="2570"/>
      <c r="C108" s="2571"/>
      <c r="D108" s="2571"/>
      <c r="E108" s="2571"/>
      <c r="F108" s="2571"/>
      <c r="G108" s="2571"/>
      <c r="H108" s="2571"/>
      <c r="I108" s="2571"/>
      <c r="J108" s="2571"/>
      <c r="K108" s="2312"/>
      <c r="L108" s="2312"/>
      <c r="M108" s="2312"/>
      <c r="N108" s="2312"/>
      <c r="O108" s="2312"/>
      <c r="P108" s="2312"/>
      <c r="Q108" s="2312"/>
      <c r="R108" s="2312"/>
    </row>
    <row r="109" spans="1:18" ht="11.5" customHeight="1" x14ac:dyDescent="0.25">
      <c r="A109" s="2575"/>
      <c r="B109" s="2570"/>
      <c r="C109" s="2571"/>
      <c r="D109" s="2571"/>
      <c r="E109" s="2571"/>
      <c r="F109" s="2571"/>
      <c r="G109" s="2571"/>
      <c r="H109" s="2571"/>
      <c r="I109" s="2571"/>
      <c r="J109" s="2571"/>
      <c r="K109" s="2312"/>
      <c r="L109" s="2312"/>
      <c r="M109" s="2312"/>
      <c r="N109" s="2312"/>
      <c r="O109" s="2312"/>
      <c r="P109" s="2312"/>
      <c r="Q109" s="2312"/>
      <c r="R109" s="2312"/>
    </row>
    <row r="110" spans="1:18" ht="21" customHeight="1" x14ac:dyDescent="0.25">
      <c r="A110" s="2574"/>
      <c r="B110" s="2570"/>
      <c r="C110" s="2571"/>
      <c r="D110" s="2571"/>
      <c r="E110" s="2571"/>
      <c r="F110" s="2571"/>
      <c r="G110" s="2571"/>
      <c r="H110" s="2571"/>
      <c r="I110" s="2571"/>
      <c r="J110" s="2571"/>
      <c r="K110" s="2314"/>
      <c r="L110" s="2314"/>
      <c r="M110" s="2314"/>
      <c r="N110" s="2314"/>
      <c r="O110" s="2314"/>
      <c r="P110" s="2314"/>
      <c r="Q110" s="2314"/>
      <c r="R110" s="2314"/>
    </row>
    <row r="111" spans="1:18" ht="11.5" customHeight="1" x14ac:dyDescent="0.25">
      <c r="A111" s="2575"/>
      <c r="B111" s="2570"/>
      <c r="C111" s="2571"/>
      <c r="D111" s="2571"/>
      <c r="E111" s="2571"/>
      <c r="F111" s="2571"/>
      <c r="G111" s="2571"/>
      <c r="H111" s="2571"/>
      <c r="I111" s="2571"/>
      <c r="J111" s="2571"/>
      <c r="K111" s="2314"/>
      <c r="L111" s="2314"/>
      <c r="M111" s="2314"/>
      <c r="N111" s="2314"/>
      <c r="O111" s="2314"/>
      <c r="P111" s="2314"/>
      <c r="Q111" s="2314"/>
      <c r="R111" s="2314"/>
    </row>
    <row r="112" spans="1:18" ht="11.5" customHeight="1" x14ac:dyDescent="0.25">
      <c r="A112" s="2575"/>
      <c r="B112" s="2570"/>
      <c r="C112" s="2571"/>
      <c r="D112" s="2571"/>
      <c r="E112" s="2571"/>
      <c r="F112" s="2571"/>
      <c r="G112" s="2571"/>
      <c r="H112" s="2571"/>
      <c r="I112" s="2571"/>
      <c r="J112" s="2571"/>
      <c r="K112" s="2314"/>
      <c r="L112" s="2314"/>
      <c r="M112" s="2314"/>
      <c r="N112" s="2314"/>
      <c r="O112" s="2314"/>
      <c r="P112" s="2314"/>
      <c r="Q112" s="2314"/>
      <c r="R112" s="2314"/>
    </row>
    <row r="113" spans="1:18" ht="11.5" customHeight="1" x14ac:dyDescent="0.25">
      <c r="A113" s="2575"/>
      <c r="B113" s="2570"/>
      <c r="C113" s="2571"/>
      <c r="D113" s="2571"/>
      <c r="E113" s="2571"/>
      <c r="F113" s="2571"/>
      <c r="G113" s="2571"/>
      <c r="H113" s="2571"/>
      <c r="I113" s="2571"/>
      <c r="J113" s="2571"/>
      <c r="K113" s="2314"/>
      <c r="L113" s="2314"/>
      <c r="M113" s="2314"/>
      <c r="N113" s="2314"/>
      <c r="O113" s="2314"/>
      <c r="P113" s="2314"/>
      <c r="Q113" s="2314"/>
      <c r="R113" s="2314"/>
    </row>
    <row r="114" spans="1:18" ht="5.25" customHeight="1" x14ac:dyDescent="0.25">
      <c r="A114" s="2572"/>
      <c r="B114" s="2570"/>
      <c r="C114" s="2571"/>
      <c r="D114" s="2571"/>
      <c r="E114" s="2571"/>
      <c r="F114" s="2571"/>
      <c r="G114" s="2571"/>
      <c r="H114" s="2571"/>
      <c r="I114" s="2571"/>
      <c r="J114" s="2571"/>
      <c r="K114" s="2302"/>
      <c r="L114" s="2302"/>
      <c r="M114" s="2302"/>
      <c r="N114" s="2302"/>
      <c r="O114" s="2302"/>
      <c r="P114" s="2302"/>
      <c r="Q114" s="2302"/>
      <c r="R114" s="2302"/>
    </row>
    <row r="115" spans="1:18" ht="11.25" customHeight="1" x14ac:dyDescent="0.25">
      <c r="A115" s="2299"/>
      <c r="B115" s="2313"/>
      <c r="C115" s="2314"/>
      <c r="D115" s="2314"/>
      <c r="E115" s="2314"/>
      <c r="F115" s="2314"/>
      <c r="G115" s="2314"/>
      <c r="H115" s="2314"/>
      <c r="I115" s="2314"/>
      <c r="J115" s="2314"/>
      <c r="K115" s="2315"/>
      <c r="L115" s="2315"/>
      <c r="M115" s="2315"/>
      <c r="N115" s="2315"/>
      <c r="O115" s="2315"/>
      <c r="P115" s="2315"/>
      <c r="Q115" s="2315"/>
      <c r="R115" s="2315"/>
    </row>
    <row r="116" spans="1:18" ht="11.25" customHeight="1" x14ac:dyDescent="0.25">
      <c r="A116" s="2306"/>
      <c r="B116" s="2313"/>
      <c r="C116" s="2302"/>
      <c r="D116" s="2302"/>
      <c r="E116" s="2302"/>
      <c r="F116" s="2302"/>
      <c r="G116" s="2302"/>
      <c r="H116" s="2302"/>
      <c r="I116" s="2302"/>
      <c r="J116" s="2302"/>
      <c r="K116" s="1332"/>
      <c r="L116" s="1332"/>
      <c r="M116" s="1332"/>
      <c r="N116" s="1332"/>
      <c r="O116" s="1332"/>
      <c r="P116" s="1332"/>
      <c r="Q116" s="1332"/>
      <c r="R116" s="1332"/>
    </row>
    <row r="117" spans="1:18" ht="11.25" customHeight="1" x14ac:dyDescent="0.25">
      <c r="A117" s="2299"/>
      <c r="B117" s="2303"/>
      <c r="C117" s="2315"/>
      <c r="D117" s="2315"/>
      <c r="E117" s="2315"/>
      <c r="F117" s="2315"/>
      <c r="G117" s="2315"/>
      <c r="H117" s="2315"/>
      <c r="I117" s="2315"/>
      <c r="J117" s="2315"/>
      <c r="K117" s="1332"/>
      <c r="L117" s="1332"/>
      <c r="M117" s="1332"/>
      <c r="N117" s="1332"/>
      <c r="O117" s="1332"/>
      <c r="P117" s="1332"/>
      <c r="Q117" s="1332"/>
      <c r="R117" s="1332"/>
    </row>
    <row r="118" spans="1:18" ht="11.25" customHeight="1" x14ac:dyDescent="0.25">
      <c r="A118" s="2299"/>
      <c r="B118" s="2303"/>
      <c r="C118" s="1332"/>
      <c r="D118" s="1332"/>
      <c r="E118" s="1332"/>
      <c r="F118" s="1332"/>
      <c r="G118" s="1332"/>
      <c r="H118" s="1332"/>
      <c r="I118" s="1332"/>
      <c r="J118" s="1332"/>
      <c r="K118" s="2316"/>
      <c r="L118" s="2316"/>
      <c r="M118" s="2316"/>
      <c r="N118" s="2316"/>
      <c r="O118" s="2316"/>
      <c r="P118" s="2316"/>
      <c r="Q118" s="2316"/>
      <c r="R118" s="2316"/>
    </row>
    <row r="119" spans="1:18" ht="11.25" customHeight="1" x14ac:dyDescent="0.25">
      <c r="A119" s="2299"/>
      <c r="B119" s="2303"/>
      <c r="C119" s="1332"/>
      <c r="D119" s="1332"/>
      <c r="E119" s="1332"/>
      <c r="F119" s="1332"/>
      <c r="G119" s="1332"/>
      <c r="H119" s="1332"/>
      <c r="I119" s="1332"/>
      <c r="J119" s="1332"/>
      <c r="K119" s="2317"/>
      <c r="L119" s="2317"/>
      <c r="M119" s="2317"/>
      <c r="N119" s="2317"/>
      <c r="O119" s="2317"/>
      <c r="P119" s="2317"/>
      <c r="Q119" s="2317"/>
      <c r="R119" s="2317"/>
    </row>
    <row r="120" spans="1:18" ht="11.25" customHeight="1" x14ac:dyDescent="0.25">
      <c r="A120" s="2299"/>
      <c r="B120" s="2303"/>
      <c r="C120" s="2316"/>
      <c r="D120" s="2316"/>
      <c r="E120" s="2316"/>
      <c r="F120" s="2316"/>
      <c r="G120" s="2316"/>
      <c r="H120" s="2316"/>
      <c r="I120" s="2316"/>
      <c r="J120" s="2316"/>
      <c r="K120" s="2317"/>
      <c r="L120" s="2317"/>
      <c r="M120" s="2317"/>
      <c r="N120" s="2317"/>
      <c r="O120" s="2317"/>
      <c r="P120" s="2317"/>
      <c r="Q120" s="2317"/>
      <c r="R120" s="2317"/>
    </row>
    <row r="121" spans="1:18" ht="11.25" customHeight="1" x14ac:dyDescent="0.25">
      <c r="A121" s="2299"/>
      <c r="B121" s="2303"/>
      <c r="C121" s="2317"/>
      <c r="D121" s="2317"/>
      <c r="E121" s="2317"/>
      <c r="F121" s="2317"/>
      <c r="G121" s="2317"/>
      <c r="H121" s="2317"/>
      <c r="I121" s="2317"/>
      <c r="J121" s="2317"/>
      <c r="K121" s="2317"/>
      <c r="L121" s="2317"/>
      <c r="M121" s="2317"/>
      <c r="N121" s="2317"/>
      <c r="O121" s="2317"/>
      <c r="P121" s="2317"/>
      <c r="Q121" s="2317"/>
      <c r="R121" s="2317"/>
    </row>
    <row r="122" spans="1:18" ht="11.25" customHeight="1" x14ac:dyDescent="0.25">
      <c r="A122" s="2299"/>
      <c r="B122" s="2303"/>
      <c r="C122" s="2317"/>
      <c r="D122" s="2317"/>
      <c r="E122" s="2317"/>
      <c r="F122" s="2317"/>
      <c r="G122" s="2317"/>
      <c r="H122" s="2317"/>
      <c r="I122" s="2317"/>
      <c r="J122" s="2317"/>
      <c r="K122" s="2317"/>
      <c r="L122" s="2317"/>
      <c r="M122" s="2317"/>
      <c r="N122" s="2317"/>
      <c r="O122" s="2317"/>
      <c r="P122" s="2317"/>
      <c r="Q122" s="2317"/>
      <c r="R122" s="2317"/>
    </row>
    <row r="123" spans="1:18" ht="11.25" customHeight="1" x14ac:dyDescent="0.25">
      <c r="A123" s="2299"/>
      <c r="B123" s="2303"/>
      <c r="C123" s="2317"/>
      <c r="D123" s="2317"/>
      <c r="E123" s="2317"/>
      <c r="F123" s="2317"/>
      <c r="G123" s="2317"/>
      <c r="H123" s="2317"/>
      <c r="I123" s="2317"/>
      <c r="J123" s="2317"/>
      <c r="K123" s="2317"/>
      <c r="L123" s="2317"/>
      <c r="M123" s="2317"/>
      <c r="N123" s="2317"/>
      <c r="O123" s="2317"/>
      <c r="P123" s="2317"/>
      <c r="Q123" s="2317"/>
      <c r="R123" s="2317"/>
    </row>
    <row r="124" spans="1:18" ht="11.25" customHeight="1" x14ac:dyDescent="0.25">
      <c r="A124" s="2299"/>
      <c r="B124" s="2303"/>
      <c r="C124" s="2317"/>
      <c r="D124" s="2317"/>
      <c r="E124" s="2317"/>
      <c r="F124" s="2317"/>
      <c r="G124" s="2317"/>
      <c r="H124" s="2317"/>
      <c r="I124" s="2317"/>
      <c r="J124" s="2317"/>
      <c r="K124" s="2317"/>
      <c r="L124" s="2317"/>
      <c r="M124" s="2317"/>
      <c r="N124" s="2317"/>
      <c r="O124" s="2317"/>
      <c r="P124" s="2317"/>
      <c r="Q124" s="2317"/>
      <c r="R124" s="2317"/>
    </row>
    <row r="125" spans="1:18" ht="11.25" customHeight="1" x14ac:dyDescent="0.25">
      <c r="A125" s="2299"/>
      <c r="B125" s="2303"/>
      <c r="C125" s="2317"/>
      <c r="D125" s="2317"/>
      <c r="E125" s="2317"/>
      <c r="F125" s="2317"/>
      <c r="G125" s="2317"/>
      <c r="H125" s="2317"/>
      <c r="I125" s="2317"/>
      <c r="J125" s="2317"/>
      <c r="K125" s="261"/>
      <c r="L125" s="261"/>
      <c r="M125" s="261"/>
      <c r="N125" s="261"/>
      <c r="O125" s="261"/>
      <c r="P125" s="261"/>
      <c r="Q125" s="261"/>
      <c r="R125" s="261"/>
    </row>
    <row r="126" spans="1:18" ht="5.15" customHeight="1" x14ac:dyDescent="0.25">
      <c r="A126" s="2299"/>
      <c r="B126" s="2303"/>
      <c r="C126" s="2317"/>
      <c r="D126" s="2317"/>
      <c r="E126" s="2317"/>
      <c r="F126" s="2317"/>
      <c r="G126" s="2317"/>
      <c r="H126" s="2317"/>
      <c r="I126" s="2317"/>
      <c r="J126" s="2317"/>
      <c r="K126" s="363"/>
      <c r="L126" s="363"/>
      <c r="M126" s="363"/>
      <c r="N126" s="363"/>
      <c r="O126" s="363"/>
      <c r="P126" s="363"/>
      <c r="Q126" s="363"/>
      <c r="R126" s="363"/>
    </row>
    <row r="127" spans="1:18" s="1062" customFormat="1" x14ac:dyDescent="0.25">
      <c r="A127" s="2304"/>
      <c r="B127" s="2303"/>
      <c r="C127" s="261"/>
      <c r="D127" s="261"/>
      <c r="E127" s="261"/>
      <c r="F127" s="261"/>
      <c r="G127" s="261"/>
      <c r="H127" s="261"/>
      <c r="I127" s="261"/>
      <c r="J127" s="261"/>
      <c r="K127" s="1040"/>
      <c r="L127" s="1040"/>
      <c r="M127" s="1040"/>
      <c r="N127" s="1040"/>
      <c r="O127" s="1040"/>
      <c r="P127" s="1040"/>
      <c r="Q127" s="1040"/>
      <c r="R127" s="1040"/>
    </row>
    <row r="128" spans="1:18" s="1062" customFormat="1" x14ac:dyDescent="0.25">
      <c r="A128" s="2305"/>
      <c r="B128" s="2300"/>
      <c r="C128" s="363"/>
      <c r="D128" s="363"/>
      <c r="E128" s="363"/>
      <c r="F128" s="363"/>
      <c r="G128" s="363"/>
      <c r="H128" s="363"/>
      <c r="I128" s="363"/>
      <c r="J128" s="363"/>
      <c r="K128" s="1040"/>
      <c r="L128" s="1040"/>
      <c r="M128" s="1040"/>
      <c r="N128" s="1040"/>
      <c r="O128" s="1040"/>
      <c r="P128" s="1040"/>
      <c r="Q128" s="1040"/>
      <c r="R128" s="1040"/>
    </row>
    <row r="129" spans="1:18" s="1062" customFormat="1" x14ac:dyDescent="0.25">
      <c r="A129" s="2318"/>
      <c r="B129" s="2309"/>
      <c r="C129" s="1040"/>
      <c r="D129" s="1040"/>
      <c r="E129" s="1040"/>
      <c r="F129" s="1040"/>
      <c r="G129" s="1040"/>
      <c r="H129" s="1040"/>
      <c r="I129" s="1040"/>
      <c r="J129" s="1040"/>
      <c r="K129" s="1040"/>
      <c r="L129" s="1040"/>
      <c r="M129" s="1040"/>
      <c r="N129" s="1040"/>
      <c r="O129" s="1040"/>
      <c r="P129" s="1040"/>
      <c r="Q129" s="1040"/>
      <c r="R129" s="1040"/>
    </row>
    <row r="130" spans="1:18" s="1062" customFormat="1" x14ac:dyDescent="0.25">
      <c r="A130" s="2319"/>
      <c r="B130" s="2309"/>
      <c r="C130" s="1040"/>
      <c r="D130" s="1040"/>
      <c r="E130" s="1040"/>
      <c r="F130" s="1040"/>
      <c r="G130" s="1040"/>
      <c r="H130" s="1040"/>
      <c r="I130" s="1040"/>
      <c r="J130" s="1040"/>
      <c r="K130" s="1040"/>
      <c r="L130" s="1040"/>
      <c r="M130" s="1040"/>
      <c r="N130" s="1040"/>
      <c r="O130" s="1040"/>
      <c r="P130" s="1040"/>
      <c r="Q130" s="1040"/>
      <c r="R130" s="1040"/>
    </row>
    <row r="131" spans="1:18" s="1062" customFormat="1" x14ac:dyDescent="0.25">
      <c r="A131" s="2319"/>
      <c r="B131" s="2309"/>
      <c r="C131" s="1040"/>
      <c r="D131" s="1040"/>
      <c r="E131" s="1040"/>
      <c r="F131" s="1040"/>
      <c r="G131" s="1040"/>
      <c r="H131" s="1040"/>
      <c r="I131" s="1040"/>
      <c r="J131" s="1040"/>
      <c r="K131" s="1040"/>
      <c r="L131" s="1040"/>
      <c r="M131" s="1040"/>
      <c r="N131" s="1040"/>
      <c r="O131" s="1040"/>
      <c r="P131" s="1040"/>
      <c r="Q131" s="1040"/>
      <c r="R131" s="1040"/>
    </row>
    <row r="132" spans="1:18" x14ac:dyDescent="0.25">
      <c r="A132" s="1515"/>
      <c r="B132" s="2309"/>
      <c r="C132" s="1040"/>
      <c r="D132" s="1040"/>
      <c r="E132" s="1040"/>
      <c r="F132" s="1040"/>
      <c r="G132" s="1040"/>
      <c r="H132" s="1040"/>
      <c r="I132" s="1040"/>
      <c r="J132" s="1040"/>
      <c r="K132" s="238"/>
      <c r="L132" s="238"/>
      <c r="M132" s="238"/>
      <c r="N132" s="238"/>
      <c r="O132" s="238"/>
      <c r="P132" s="238"/>
      <c r="Q132" s="238"/>
      <c r="R132" s="238"/>
    </row>
    <row r="133" spans="1:18" x14ac:dyDescent="0.25">
      <c r="A133" s="2319"/>
      <c r="B133" s="2309"/>
      <c r="C133" s="1040"/>
      <c r="D133" s="1040"/>
      <c r="E133" s="1040"/>
      <c r="F133" s="1040"/>
      <c r="G133" s="1040"/>
      <c r="H133" s="1040"/>
      <c r="I133" s="1040"/>
      <c r="J133" s="1040"/>
      <c r="K133" s="238"/>
      <c r="L133" s="238"/>
      <c r="M133" s="238"/>
      <c r="N133" s="238"/>
      <c r="O133" s="238"/>
      <c r="P133" s="238"/>
      <c r="Q133" s="238"/>
      <c r="R133" s="238"/>
    </row>
    <row r="134" spans="1:18" ht="11.25" customHeight="1" x14ac:dyDescent="0.25">
      <c r="A134" s="1158"/>
      <c r="C134" s="237"/>
      <c r="D134" s="237"/>
      <c r="E134" s="237"/>
      <c r="F134" s="237"/>
      <c r="G134" s="238"/>
      <c r="H134" s="238"/>
      <c r="I134" s="238"/>
      <c r="J134" s="238"/>
    </row>
    <row r="135" spans="1:18" ht="11.25" customHeight="1" x14ac:dyDescent="0.25">
      <c r="A135" s="1158"/>
      <c r="C135" s="237"/>
      <c r="D135" s="237"/>
      <c r="E135" s="237"/>
      <c r="F135" s="237"/>
      <c r="G135" s="238"/>
      <c r="H135" s="238"/>
      <c r="I135" s="238"/>
      <c r="J135" s="238"/>
    </row>
    <row r="136" spans="1:18" ht="11.25" customHeight="1" x14ac:dyDescent="0.25"/>
    <row r="137" spans="1:18" ht="11.25" customHeight="1" x14ac:dyDescent="0.25">
      <c r="B137" s="2305"/>
    </row>
    <row r="138" spans="1:18" ht="11.25" customHeight="1" x14ac:dyDescent="0.25">
      <c r="B138" s="2305"/>
    </row>
    <row r="139" spans="1:18" ht="11.25" customHeight="1" x14ac:dyDescent="0.25">
      <c r="B139" s="2305"/>
    </row>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sheetData>
  <sheetProtection sheet="1" objects="1" scenarios="1"/>
  <mergeCells count="14">
    <mergeCell ref="F95:F96"/>
    <mergeCell ref="G95:G96"/>
    <mergeCell ref="G2:G3"/>
    <mergeCell ref="F2:F3"/>
    <mergeCell ref="A95:A96"/>
    <mergeCell ref="A2:A3"/>
    <mergeCell ref="B2:B3"/>
    <mergeCell ref="C2:C3"/>
    <mergeCell ref="D2:D3"/>
    <mergeCell ref="E2:E3"/>
    <mergeCell ref="B95:B96"/>
    <mergeCell ref="C95:C96"/>
    <mergeCell ref="D95:D96"/>
    <mergeCell ref="E95:E96"/>
  </mergeCells>
  <dataValidations count="6">
    <dataValidation type="list" showInputMessage="1" showErrorMessage="1" promptTitle="Guidance" prompt="Select Uniform or Variable" sqref="K88:R88 K24:R24">
      <formula1>List7</formula1>
    </dataValidation>
    <dataValidation type="list" showInputMessage="1" showErrorMessage="1" promptTitle="Guidance" prompt="Select Yes or No" sqref="K86:R87 K22:R23">
      <formula1>List6</formula1>
    </dataValidation>
    <dataValidation type="list" allowBlank="1" showInputMessage="1" showErrorMessage="1" promptTitle="Select" prompt="Select one" sqref="K84:R84 K20:R20">
      <formula1>List5</formula1>
    </dataValidation>
    <dataValidation type="list" allowBlank="1" showInputMessage="1" showErrorMessage="1" promptTitle="Select" prompt="Select one" sqref="K83:R83 C83 K19:R19 C60">
      <formula1>List4</formula1>
    </dataValidation>
    <dataValidation type="list" allowBlank="1" showInputMessage="1" showErrorMessage="1" promptTitle="Select" prompt="Select one" sqref="K81:R82 C81:C82 K17:R17 C58:C59">
      <formula1>List2</formula1>
    </dataValidation>
    <dataValidation type="list" allowBlank="1" showInputMessage="1" showErrorMessage="1" promptTitle="Select" prompt="Select one" sqref="K18:R18">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enableFormatConditionsCalculation="0">
    <tabColor indexed="42"/>
    <pageSetUpPr fitToPage="1"/>
  </sheetPr>
  <dimension ref="A1:AN118"/>
  <sheetViews>
    <sheetView showGridLines="0" zoomScaleNormal="100" workbookViewId="0">
      <pane xSplit="2" ySplit="4" topLeftCell="C38" activePane="bottomRight" state="frozen"/>
      <selection pane="topRight"/>
      <selection pane="bottomLeft"/>
      <selection pane="bottomRight" activeCell="L55" sqref="L55"/>
    </sheetView>
  </sheetViews>
  <sheetFormatPr defaultColWidth="9.1796875" defaultRowHeight="10.5" x14ac:dyDescent="0.25"/>
  <cols>
    <col min="1" max="1" width="30.7265625" style="149" customWidth="1"/>
    <col min="2" max="2" width="3" style="247" customWidth="1"/>
    <col min="3" max="12" width="9.26953125" style="149" customWidth="1"/>
    <col min="13" max="16384" width="9.1796875" style="149"/>
  </cols>
  <sheetData>
    <row r="1" spans="1:12" ht="13" x14ac:dyDescent="0.3">
      <c r="A1" s="147" t="str">
        <f>muni&amp;" - "&amp;TableA14</f>
        <v>KZN225 Msunduzi - Supporting Table SA14 Household bills</v>
      </c>
      <c r="B1" s="147"/>
      <c r="C1" s="147"/>
      <c r="D1" s="147"/>
      <c r="E1" s="147"/>
      <c r="F1" s="147"/>
      <c r="G1" s="147"/>
      <c r="H1" s="147"/>
      <c r="I1" s="147"/>
      <c r="J1" s="147"/>
      <c r="K1" s="147"/>
      <c r="L1" s="147"/>
    </row>
    <row r="2" spans="1:12" ht="27" customHeight="1" x14ac:dyDescent="0.25">
      <c r="A2" s="2701" t="str">
        <f>desc</f>
        <v>Description</v>
      </c>
      <c r="B2" s="2703" t="str">
        <f>head27</f>
        <v>Ref</v>
      </c>
      <c r="C2" s="150" t="str">
        <f>head1b</f>
        <v>2009/10</v>
      </c>
      <c r="D2" s="150" t="str">
        <f>head1A</f>
        <v>2010/11</v>
      </c>
      <c r="E2" s="146" t="str">
        <f>Head1</f>
        <v>2011/12</v>
      </c>
      <c r="F2" s="2677" t="str">
        <f>Head2</f>
        <v>Current Year 2012/13</v>
      </c>
      <c r="G2" s="2678"/>
      <c r="H2" s="2678"/>
      <c r="I2" s="655" t="str">
        <f>Head3</f>
        <v>2013/14 Medium Term Revenue &amp; Expenditure Framework</v>
      </c>
      <c r="J2" s="656"/>
      <c r="K2" s="657"/>
      <c r="L2" s="658"/>
    </row>
    <row r="3" spans="1:12" ht="21" x14ac:dyDescent="0.25">
      <c r="A3" s="2702"/>
      <c r="B3" s="2704"/>
      <c r="C3" s="152" t="str">
        <f>Head5</f>
        <v>Audited Outcome</v>
      </c>
      <c r="D3" s="152" t="str">
        <f>Head5</f>
        <v>Audited Outcome</v>
      </c>
      <c r="E3" s="153" t="str">
        <f>Head5</f>
        <v>Audited Outcome</v>
      </c>
      <c r="F3" s="151" t="str">
        <f>Head6</f>
        <v>Original Budget</v>
      </c>
      <c r="G3" s="152" t="str">
        <f>Head7</f>
        <v>Adjusted Budget</v>
      </c>
      <c r="H3" s="154" t="str">
        <f>Head8</f>
        <v>Full Year Forecast</v>
      </c>
      <c r="I3" s="659" t="str">
        <f>Head9</f>
        <v>Budget Year 2013/14</v>
      </c>
      <c r="J3" s="154" t="str">
        <f>Head9</f>
        <v>Budget Year 2013/14</v>
      </c>
      <c r="K3" s="660" t="str">
        <f>Head10</f>
        <v>Budget Year +1 2014/15</v>
      </c>
      <c r="L3" s="153" t="str">
        <f>Head11</f>
        <v>Budget Year +2 2015/16</v>
      </c>
    </row>
    <row r="4" spans="1:12" x14ac:dyDescent="0.25">
      <c r="A4" s="180" t="s">
        <v>1288</v>
      </c>
      <c r="B4" s="2709"/>
      <c r="C4" s="138"/>
      <c r="D4" s="138"/>
      <c r="E4" s="156"/>
      <c r="F4" s="155"/>
      <c r="G4" s="138"/>
      <c r="H4" s="157"/>
      <c r="I4" s="140" t="s">
        <v>826</v>
      </c>
      <c r="J4" s="157"/>
      <c r="K4" s="138"/>
      <c r="L4" s="156"/>
    </row>
    <row r="5" spans="1:12" ht="21" x14ac:dyDescent="0.25">
      <c r="A5" s="527" t="s">
        <v>2195</v>
      </c>
      <c r="B5" s="661">
        <v>1</v>
      </c>
      <c r="C5" s="662"/>
      <c r="D5" s="662"/>
      <c r="E5" s="663"/>
      <c r="F5" s="664"/>
      <c r="G5" s="662"/>
      <c r="H5" s="665"/>
      <c r="I5" s="666"/>
      <c r="J5" s="665"/>
      <c r="K5" s="662"/>
      <c r="L5" s="663"/>
    </row>
    <row r="6" spans="1:12" x14ac:dyDescent="0.25">
      <c r="A6" s="297" t="s">
        <v>796</v>
      </c>
      <c r="B6" s="667"/>
      <c r="C6" s="668"/>
      <c r="D6" s="668"/>
      <c r="E6" s="669"/>
      <c r="F6" s="670"/>
      <c r="G6" s="668"/>
      <c r="H6" s="671"/>
      <c r="I6" s="672"/>
      <c r="J6" s="671"/>
      <c r="K6" s="668"/>
      <c r="L6" s="669"/>
    </row>
    <row r="7" spans="1:12" x14ac:dyDescent="0.25">
      <c r="A7" s="304" t="s">
        <v>540</v>
      </c>
      <c r="B7" s="667"/>
      <c r="C7" s="1903">
        <v>367.38</v>
      </c>
      <c r="D7" s="1903">
        <v>553.13</v>
      </c>
      <c r="E7" s="1904">
        <v>596.2183606622159</v>
      </c>
      <c r="F7" s="1905">
        <v>633.22</v>
      </c>
      <c r="G7" s="1903">
        <v>633.22</v>
      </c>
      <c r="H7" s="1906">
        <v>633.22</v>
      </c>
      <c r="I7" s="1907">
        <v>5.5E-2</v>
      </c>
      <c r="J7" s="1906">
        <v>668.05</v>
      </c>
      <c r="K7" s="1903">
        <v>704.8</v>
      </c>
      <c r="L7" s="1904">
        <v>743.57</v>
      </c>
    </row>
    <row r="8" spans="1:12" x14ac:dyDescent="0.25">
      <c r="A8" s="304" t="s">
        <v>1551</v>
      </c>
      <c r="B8" s="667"/>
      <c r="C8" s="1903">
        <v>125.44</v>
      </c>
      <c r="D8" s="1903">
        <v>177.04</v>
      </c>
      <c r="E8" s="1904">
        <v>220.05520470741411</v>
      </c>
      <c r="F8" s="1905">
        <v>283.56</v>
      </c>
      <c r="G8" s="1903">
        <v>283.56</v>
      </c>
      <c r="H8" s="1906">
        <v>283.56</v>
      </c>
      <c r="I8" s="1907">
        <v>0.1</v>
      </c>
      <c r="J8" s="1906">
        <v>311.92</v>
      </c>
      <c r="K8" s="1903">
        <v>343.12</v>
      </c>
      <c r="L8" s="1904">
        <v>377.44</v>
      </c>
    </row>
    <row r="9" spans="1:12" x14ac:dyDescent="0.25">
      <c r="A9" s="304" t="s">
        <v>1552</v>
      </c>
      <c r="B9" s="667"/>
      <c r="C9" s="1903">
        <v>245.28</v>
      </c>
      <c r="D9" s="1903">
        <v>346.23</v>
      </c>
      <c r="E9" s="1904">
        <v>430.35310396434704</v>
      </c>
      <c r="F9" s="1905">
        <v>456.78</v>
      </c>
      <c r="G9" s="1903">
        <v>456.78</v>
      </c>
      <c r="H9" s="1906">
        <v>456.78</v>
      </c>
      <c r="I9" s="1907">
        <v>0.1</v>
      </c>
      <c r="J9" s="1906">
        <v>502.46</v>
      </c>
      <c r="K9" s="1903">
        <v>552.71</v>
      </c>
      <c r="L9" s="1904">
        <v>607.99</v>
      </c>
    </row>
    <row r="10" spans="1:12" x14ac:dyDescent="0.25">
      <c r="A10" s="304" t="s">
        <v>1553</v>
      </c>
      <c r="B10" s="667"/>
      <c r="C10" s="1903">
        <v>26.53</v>
      </c>
      <c r="D10" s="1903">
        <v>27.88</v>
      </c>
      <c r="E10" s="1904">
        <v>35.250029945559575</v>
      </c>
      <c r="F10" s="1905">
        <v>32.21</v>
      </c>
      <c r="G10" s="1903">
        <v>32.21</v>
      </c>
      <c r="H10" s="1906">
        <v>32.21</v>
      </c>
      <c r="I10" s="1907">
        <v>0.1</v>
      </c>
      <c r="J10" s="1906">
        <v>35.44</v>
      </c>
      <c r="K10" s="1903">
        <v>38.99</v>
      </c>
      <c r="L10" s="1904">
        <v>42.89</v>
      </c>
    </row>
    <row r="11" spans="1:12" x14ac:dyDescent="0.25">
      <c r="A11" s="304" t="s">
        <v>823</v>
      </c>
      <c r="B11" s="667"/>
      <c r="C11" s="1903">
        <v>214.32</v>
      </c>
      <c r="D11" s="1903">
        <v>225.12</v>
      </c>
      <c r="E11" s="1904">
        <v>284.6300839793534</v>
      </c>
      <c r="F11" s="1905">
        <v>260.14999999999998</v>
      </c>
      <c r="G11" s="1903">
        <v>260.14999999999998</v>
      </c>
      <c r="H11" s="1906">
        <v>260.14999999999998</v>
      </c>
      <c r="I11" s="1907">
        <v>0.1</v>
      </c>
      <c r="J11" s="1906">
        <v>286.17</v>
      </c>
      <c r="K11" s="1903">
        <v>314.79000000000002</v>
      </c>
      <c r="L11" s="1904">
        <v>346.27</v>
      </c>
    </row>
    <row r="12" spans="1:12" x14ac:dyDescent="0.25">
      <c r="A12" s="304" t="s">
        <v>954</v>
      </c>
      <c r="B12" s="667"/>
      <c r="C12" s="1903">
        <v>81.72</v>
      </c>
      <c r="D12" s="1903">
        <v>87.44</v>
      </c>
      <c r="E12" s="1904">
        <v>117.71447992979444</v>
      </c>
      <c r="F12" s="1905">
        <v>101.04</v>
      </c>
      <c r="G12" s="1903">
        <v>101.04</v>
      </c>
      <c r="H12" s="1906">
        <v>101.04</v>
      </c>
      <c r="I12" s="1907">
        <v>5.5E-2</v>
      </c>
      <c r="J12" s="1906">
        <v>106.6</v>
      </c>
      <c r="K12" s="1903">
        <v>112.47</v>
      </c>
      <c r="L12" s="1904">
        <v>118.66</v>
      </c>
    </row>
    <row r="13" spans="1:12" x14ac:dyDescent="0.25">
      <c r="A13" s="304" t="s">
        <v>666</v>
      </c>
      <c r="B13" s="667"/>
      <c r="C13" s="1903">
        <v>52.86</v>
      </c>
      <c r="D13" s="1903">
        <v>56.56</v>
      </c>
      <c r="E13" s="1904">
        <v>69.584944604645926</v>
      </c>
      <c r="F13" s="1905">
        <v>65.36</v>
      </c>
      <c r="G13" s="1903">
        <v>65.36</v>
      </c>
      <c r="H13" s="1906">
        <v>65.36</v>
      </c>
      <c r="I13" s="1907">
        <v>5.5E-2</v>
      </c>
      <c r="J13" s="1906">
        <v>68.959999999999994</v>
      </c>
      <c r="K13" s="1903">
        <v>72.760000000000005</v>
      </c>
      <c r="L13" s="1904">
        <v>76.77</v>
      </c>
    </row>
    <row r="14" spans="1:12" x14ac:dyDescent="0.25">
      <c r="A14" s="304" t="s">
        <v>292</v>
      </c>
      <c r="B14" s="667"/>
      <c r="C14" s="1903"/>
      <c r="D14" s="1903"/>
      <c r="E14" s="1904"/>
      <c r="F14" s="1905"/>
      <c r="G14" s="1903"/>
      <c r="H14" s="1906"/>
      <c r="I14" s="1907"/>
      <c r="J14" s="1906"/>
      <c r="K14" s="1903"/>
      <c r="L14" s="1904"/>
    </row>
    <row r="15" spans="1:12" x14ac:dyDescent="0.25">
      <c r="A15" s="673" t="s">
        <v>139</v>
      </c>
      <c r="B15" s="667"/>
      <c r="C15" s="674">
        <f>SUM(C7:C14)</f>
        <v>1113.53</v>
      </c>
      <c r="D15" s="674">
        <f>SUM(D7:D14)</f>
        <v>1473.4</v>
      </c>
      <c r="E15" s="675">
        <f>SUM(E7:E14)</f>
        <v>1753.8062077933305</v>
      </c>
      <c r="F15" s="676">
        <f>SUM(F7:F14)</f>
        <v>1832.32</v>
      </c>
      <c r="G15" s="674">
        <f t="shared" ref="G15:L15" si="0">SUM(G7:G14)</f>
        <v>1832.32</v>
      </c>
      <c r="H15" s="677">
        <f t="shared" si="0"/>
        <v>1832.32</v>
      </c>
      <c r="I15" s="678">
        <f>IF(ISERROR(ROUND((J15-F15)/F15,3)),0,(ROUND((J15-F15)/F15,3)))</f>
        <v>0.08</v>
      </c>
      <c r="J15" s="677">
        <f t="shared" si="0"/>
        <v>1979.6000000000001</v>
      </c>
      <c r="K15" s="674">
        <f t="shared" si="0"/>
        <v>2139.6400000000003</v>
      </c>
      <c r="L15" s="675">
        <f t="shared" si="0"/>
        <v>2313.5899999999997</v>
      </c>
    </row>
    <row r="16" spans="1:12" x14ac:dyDescent="0.25">
      <c r="A16" s="304" t="s">
        <v>795</v>
      </c>
      <c r="B16" s="667"/>
      <c r="C16" s="1903"/>
      <c r="D16" s="1903"/>
      <c r="E16" s="1904"/>
      <c r="F16" s="1905"/>
      <c r="G16" s="1903"/>
      <c r="H16" s="1906"/>
      <c r="I16" s="1907"/>
      <c r="J16" s="1906"/>
      <c r="K16" s="1903"/>
      <c r="L16" s="1904"/>
    </row>
    <row r="17" spans="1:12" x14ac:dyDescent="0.25">
      <c r="A17" s="297" t="s">
        <v>824</v>
      </c>
      <c r="B17" s="667"/>
      <c r="C17" s="674">
        <f>SUM(C15:C16)</f>
        <v>1113.53</v>
      </c>
      <c r="D17" s="674">
        <f>SUM(D15:D16)</f>
        <v>1473.4</v>
      </c>
      <c r="E17" s="675">
        <f>SUM(E15:E16)</f>
        <v>1753.8062077933305</v>
      </c>
      <c r="F17" s="676">
        <f>SUM(F15:F16)</f>
        <v>1832.32</v>
      </c>
      <c r="G17" s="674">
        <f t="shared" ref="G17:L17" si="1">SUM(G15:G16)</f>
        <v>1832.32</v>
      </c>
      <c r="H17" s="677">
        <f t="shared" si="1"/>
        <v>1832.32</v>
      </c>
      <c r="I17" s="678">
        <f>IF(ISERROR(ROUND((J17-F17)/F17,3)),0,(ROUND((J17-F17)/F17,3)))</f>
        <v>0.08</v>
      </c>
      <c r="J17" s="677">
        <f t="shared" si="1"/>
        <v>1979.6000000000001</v>
      </c>
      <c r="K17" s="674">
        <f t="shared" si="1"/>
        <v>2139.6400000000003</v>
      </c>
      <c r="L17" s="675">
        <f t="shared" si="1"/>
        <v>2313.5899999999997</v>
      </c>
    </row>
    <row r="18" spans="1:12" x14ac:dyDescent="0.25">
      <c r="A18" s="679" t="s">
        <v>134</v>
      </c>
      <c r="B18" s="667"/>
      <c r="C18" s="680"/>
      <c r="D18" s="681">
        <f>IF(ISERROR((D17/C17)-1),0,((D17/C17)-1))</f>
        <v>0.32317943836268448</v>
      </c>
      <c r="E18" s="682">
        <f>IF(ISERROR((E17/D17)-1),0,((E17/D17)-1))</f>
        <v>0.19031234409755005</v>
      </c>
      <c r="F18" s="683">
        <f>IF(ISERROR((F17/E17)-1),0,((F17/E17)-1))</f>
        <v>4.4767655546992691E-2</v>
      </c>
      <c r="G18" s="681">
        <f>IF(ISERROR((G17/F17)-1),0,((G17/F17)-1))</f>
        <v>0</v>
      </c>
      <c r="H18" s="684">
        <f>IF(ISERROR((H17/G17)-1),0,((H17/G17)-1))</f>
        <v>0</v>
      </c>
      <c r="I18" s="685"/>
      <c r="J18" s="684">
        <f>IF(ISERROR((J17/H17)-1),0,((J17/H17)-1))</f>
        <v>8.0378973105134532E-2</v>
      </c>
      <c r="K18" s="681">
        <f>IF(ISERROR((K17/J17)-1),0,((K17/J17)-1))</f>
        <v>8.0844615073752291E-2</v>
      </c>
      <c r="L18" s="682">
        <f>IF(ISERROR((L17/K17)-1),0,((L17/K17)-1))</f>
        <v>8.1298723149688445E-2</v>
      </c>
    </row>
    <row r="19" spans="1:12" ht="5.15" customHeight="1" x14ac:dyDescent="0.25">
      <c r="A19" s="527"/>
      <c r="B19" s="667"/>
      <c r="C19" s="686"/>
      <c r="D19" s="686"/>
      <c r="E19" s="687"/>
      <c r="F19" s="688"/>
      <c r="G19" s="686"/>
      <c r="H19" s="689"/>
      <c r="I19" s="672"/>
      <c r="J19" s="689"/>
      <c r="K19" s="686"/>
      <c r="L19" s="687"/>
    </row>
    <row r="20" spans="1:12" ht="25.5" customHeight="1" x14ac:dyDescent="0.25">
      <c r="A20" s="690" t="s">
        <v>2196</v>
      </c>
      <c r="B20" s="691">
        <v>2</v>
      </c>
      <c r="C20" s="692"/>
      <c r="D20" s="692"/>
      <c r="E20" s="693"/>
      <c r="F20" s="694"/>
      <c r="G20" s="692"/>
      <c r="H20" s="695"/>
      <c r="I20" s="696"/>
      <c r="J20" s="695"/>
      <c r="K20" s="692"/>
      <c r="L20" s="693"/>
    </row>
    <row r="21" spans="1:12" ht="11.25" customHeight="1" x14ac:dyDescent="0.25">
      <c r="A21" s="297" t="str">
        <f>A6</f>
        <v>Rates and services charges:</v>
      </c>
      <c r="B21" s="667"/>
      <c r="C21" s="668"/>
      <c r="D21" s="668"/>
      <c r="E21" s="669"/>
      <c r="F21" s="670"/>
      <c r="G21" s="668"/>
      <c r="H21" s="671"/>
      <c r="I21" s="672"/>
      <c r="J21" s="671"/>
      <c r="K21" s="668"/>
      <c r="L21" s="669"/>
    </row>
    <row r="22" spans="1:12" ht="11.25" customHeight="1" x14ac:dyDescent="0.25">
      <c r="A22" s="304" t="str">
        <f t="shared" ref="A22:A31" si="2">A7</f>
        <v>Property rates</v>
      </c>
      <c r="B22" s="667"/>
      <c r="C22" s="1903">
        <v>110.22</v>
      </c>
      <c r="D22" s="1903">
        <v>146.88</v>
      </c>
      <c r="E22" s="1904">
        <v>158.32182816709684</v>
      </c>
      <c r="F22" s="1905">
        <v>168.14</v>
      </c>
      <c r="G22" s="1903">
        <v>168.14</v>
      </c>
      <c r="H22" s="1906">
        <v>168.14</v>
      </c>
      <c r="I22" s="1907">
        <v>5.5E-2</v>
      </c>
      <c r="J22" s="1906">
        <v>177.39</v>
      </c>
      <c r="K22" s="1903">
        <v>187.15</v>
      </c>
      <c r="L22" s="1904">
        <v>197.45</v>
      </c>
    </row>
    <row r="23" spans="1:12" ht="11.25" customHeight="1" x14ac:dyDescent="0.25">
      <c r="A23" s="304" t="str">
        <f t="shared" si="2"/>
        <v>Electricity: Basic levy</v>
      </c>
      <c r="B23" s="667"/>
      <c r="C23" s="1903">
        <v>138.88</v>
      </c>
      <c r="D23" s="1903">
        <v>177.04</v>
      </c>
      <c r="E23" s="1904">
        <v>220.05520470741411</v>
      </c>
      <c r="F23" s="1905">
        <v>233.56</v>
      </c>
      <c r="G23" s="1903">
        <v>233.56</v>
      </c>
      <c r="H23" s="1906">
        <v>233.56</v>
      </c>
      <c r="I23" s="1907">
        <v>0.1</v>
      </c>
      <c r="J23" s="1906">
        <v>256.92</v>
      </c>
      <c r="K23" s="1903">
        <v>282.62</v>
      </c>
      <c r="L23" s="1904">
        <v>310.89</v>
      </c>
    </row>
    <row r="24" spans="1:12" ht="11.25" customHeight="1" x14ac:dyDescent="0.25">
      <c r="A24" s="304" t="str">
        <f t="shared" si="2"/>
        <v>Electricity: Consumption</v>
      </c>
      <c r="B24" s="667"/>
      <c r="C24" s="1903">
        <v>135.24</v>
      </c>
      <c r="D24" s="1903">
        <v>172.42</v>
      </c>
      <c r="E24" s="1904">
        <v>217.99892981396636</v>
      </c>
      <c r="F24" s="1905">
        <v>227.47</v>
      </c>
      <c r="G24" s="1903">
        <v>227.47</v>
      </c>
      <c r="H24" s="1906">
        <v>227.47</v>
      </c>
      <c r="I24" s="1907">
        <v>0.1</v>
      </c>
      <c r="J24" s="1906">
        <v>250.22</v>
      </c>
      <c r="K24" s="1903">
        <v>275.25</v>
      </c>
      <c r="L24" s="1904">
        <v>302.77999999999997</v>
      </c>
    </row>
    <row r="25" spans="1:12" ht="11.25" customHeight="1" x14ac:dyDescent="0.25">
      <c r="A25" s="304" t="str">
        <f t="shared" si="2"/>
        <v>Water: Basic levy</v>
      </c>
      <c r="B25" s="667"/>
      <c r="C25" s="1903">
        <v>26.53</v>
      </c>
      <c r="D25" s="1903">
        <v>27.88</v>
      </c>
      <c r="E25" s="1904">
        <v>35.250029945559575</v>
      </c>
      <c r="F25" s="1905">
        <v>32.21</v>
      </c>
      <c r="G25" s="1903">
        <v>32.21</v>
      </c>
      <c r="H25" s="1906">
        <v>32.21</v>
      </c>
      <c r="I25" s="1907">
        <v>0.1</v>
      </c>
      <c r="J25" s="1906">
        <v>35.44</v>
      </c>
      <c r="K25" s="1903">
        <v>38.99</v>
      </c>
      <c r="L25" s="1904">
        <v>42.89</v>
      </c>
    </row>
    <row r="26" spans="1:12" ht="11.25" customHeight="1" x14ac:dyDescent="0.25">
      <c r="A26" s="304" t="str">
        <f t="shared" si="2"/>
        <v>Water: Consumption</v>
      </c>
      <c r="B26" s="667"/>
      <c r="C26" s="1903">
        <v>169.67</v>
      </c>
      <c r="D26" s="1903">
        <v>178.22</v>
      </c>
      <c r="E26" s="1904">
        <v>225.33214981698808</v>
      </c>
      <c r="F26" s="1905">
        <v>205.95</v>
      </c>
      <c r="G26" s="1903">
        <v>205.95</v>
      </c>
      <c r="H26" s="1906">
        <v>205.95</v>
      </c>
      <c r="I26" s="1907">
        <v>0.1</v>
      </c>
      <c r="J26" s="1906">
        <v>226.55</v>
      </c>
      <c r="K26" s="1903">
        <v>249.21</v>
      </c>
      <c r="L26" s="1904">
        <v>274.14</v>
      </c>
    </row>
    <row r="27" spans="1:12" ht="11.25" customHeight="1" x14ac:dyDescent="0.25">
      <c r="A27" s="304" t="str">
        <f t="shared" si="2"/>
        <v>Sanitation</v>
      </c>
      <c r="B27" s="667"/>
      <c r="C27" s="1903">
        <v>81.72</v>
      </c>
      <c r="D27" s="1903">
        <v>87.44</v>
      </c>
      <c r="E27" s="1904">
        <v>117.71447992979444</v>
      </c>
      <c r="F27" s="1905">
        <v>101.04</v>
      </c>
      <c r="G27" s="1903">
        <v>101.04</v>
      </c>
      <c r="H27" s="1906">
        <v>101.04</v>
      </c>
      <c r="I27" s="1907">
        <v>5.5E-2</v>
      </c>
      <c r="J27" s="1906">
        <v>106.6</v>
      </c>
      <c r="K27" s="1903">
        <v>112.47</v>
      </c>
      <c r="L27" s="1904">
        <v>118.66</v>
      </c>
    </row>
    <row r="28" spans="1:12" ht="11.25" customHeight="1" x14ac:dyDescent="0.25">
      <c r="A28" s="304" t="str">
        <f t="shared" si="2"/>
        <v>Refuse removal</v>
      </c>
      <c r="B28" s="667"/>
      <c r="C28" s="1903">
        <v>52.86</v>
      </c>
      <c r="D28" s="1903">
        <v>56.56</v>
      </c>
      <c r="E28" s="1904">
        <v>69.584944604645926</v>
      </c>
      <c r="F28" s="1905">
        <v>65.36</v>
      </c>
      <c r="G28" s="1903">
        <v>65.36</v>
      </c>
      <c r="H28" s="1906">
        <v>65.36</v>
      </c>
      <c r="I28" s="1907">
        <v>5.5E-2</v>
      </c>
      <c r="J28" s="1906">
        <v>68.959999999999994</v>
      </c>
      <c r="K28" s="1903">
        <v>72.760000000000005</v>
      </c>
      <c r="L28" s="1904">
        <v>76.77</v>
      </c>
    </row>
    <row r="29" spans="1:12" ht="11.25" customHeight="1" x14ac:dyDescent="0.25">
      <c r="A29" s="304" t="str">
        <f t="shared" si="2"/>
        <v>Other</v>
      </c>
      <c r="B29" s="667"/>
      <c r="C29" s="1903"/>
      <c r="D29" s="1903"/>
      <c r="E29" s="1904"/>
      <c r="F29" s="1905"/>
      <c r="G29" s="1903"/>
      <c r="H29" s="1906"/>
      <c r="I29" s="1907"/>
      <c r="J29" s="1906"/>
      <c r="K29" s="1903"/>
      <c r="L29" s="1904"/>
    </row>
    <row r="30" spans="1:12" ht="11.25" customHeight="1" x14ac:dyDescent="0.25">
      <c r="A30" s="673" t="str">
        <f t="shared" si="2"/>
        <v>sub-total</v>
      </c>
      <c r="B30" s="697"/>
      <c r="C30" s="674">
        <f t="shared" ref="C30:H30" si="3">SUM(C22:C29)</f>
        <v>715.12</v>
      </c>
      <c r="D30" s="674">
        <f t="shared" si="3"/>
        <v>846.43999999999983</v>
      </c>
      <c r="E30" s="675">
        <f t="shared" si="3"/>
        <v>1044.2575669854652</v>
      </c>
      <c r="F30" s="676">
        <f t="shared" si="3"/>
        <v>1033.7299999999998</v>
      </c>
      <c r="G30" s="674">
        <f t="shared" si="3"/>
        <v>1033.7299999999998</v>
      </c>
      <c r="H30" s="677">
        <f t="shared" si="3"/>
        <v>1033.7299999999998</v>
      </c>
      <c r="I30" s="678">
        <f>IF(ISERROR(ROUND((J30-F30)/F30,3)),0,(ROUND((J30-F30)/F30,3)))</f>
        <v>8.5000000000000006E-2</v>
      </c>
      <c r="J30" s="677">
        <f>SUM(J22:J29)</f>
        <v>1122.08</v>
      </c>
      <c r="K30" s="674">
        <f>SUM(K22:K29)</f>
        <v>1218.45</v>
      </c>
      <c r="L30" s="675">
        <f>SUM(L22:L29)</f>
        <v>1323.58</v>
      </c>
    </row>
    <row r="31" spans="1:12" ht="11.25" customHeight="1" x14ac:dyDescent="0.25">
      <c r="A31" s="304" t="str">
        <f t="shared" si="2"/>
        <v>VAT on Services</v>
      </c>
      <c r="B31" s="667"/>
      <c r="C31" s="1903"/>
      <c r="D31" s="1903"/>
      <c r="E31" s="1904"/>
      <c r="F31" s="1905"/>
      <c r="G31" s="1903"/>
      <c r="H31" s="1906"/>
      <c r="I31" s="1907"/>
      <c r="J31" s="1906"/>
      <c r="K31" s="1903"/>
      <c r="L31" s="1904"/>
    </row>
    <row r="32" spans="1:12" ht="11.25" customHeight="1" x14ac:dyDescent="0.25">
      <c r="A32" s="297" t="s">
        <v>825</v>
      </c>
      <c r="B32" s="667"/>
      <c r="C32" s="674">
        <f t="shared" ref="C32:H32" si="4">SUM(C30:C31)</f>
        <v>715.12</v>
      </c>
      <c r="D32" s="674">
        <f t="shared" si="4"/>
        <v>846.43999999999983</v>
      </c>
      <c r="E32" s="675">
        <f t="shared" si="4"/>
        <v>1044.2575669854652</v>
      </c>
      <c r="F32" s="676">
        <f t="shared" si="4"/>
        <v>1033.7299999999998</v>
      </c>
      <c r="G32" s="674">
        <f t="shared" si="4"/>
        <v>1033.7299999999998</v>
      </c>
      <c r="H32" s="677">
        <f t="shared" si="4"/>
        <v>1033.7299999999998</v>
      </c>
      <c r="I32" s="678">
        <f>IF(ISERROR(ROUND((J32-F32)/F32,3)),0,(ROUND((J32-F32)/F32,3)))</f>
        <v>8.5000000000000006E-2</v>
      </c>
      <c r="J32" s="677">
        <f>SUM(J30:J31)</f>
        <v>1122.08</v>
      </c>
      <c r="K32" s="674">
        <f>SUM(K30:K31)</f>
        <v>1218.45</v>
      </c>
      <c r="L32" s="675">
        <f>SUM(L30:L31)</f>
        <v>1323.58</v>
      </c>
    </row>
    <row r="33" spans="1:15" ht="11.25" customHeight="1" x14ac:dyDescent="0.25">
      <c r="A33" s="679" t="s">
        <v>134</v>
      </c>
      <c r="B33" s="667"/>
      <c r="C33" s="680"/>
      <c r="D33" s="681">
        <f>IF(ISERROR((D32/C32)-1),0,((D32/C32)-1))</f>
        <v>0.18363351605324962</v>
      </c>
      <c r="E33" s="682">
        <f>IF(ISERROR((E32/D32)-1),0,((E32/D32)-1))</f>
        <v>0.23370536244206974</v>
      </c>
      <c r="F33" s="683">
        <f>IF(ISERROR((F32/E32)-1),0,((F32/E32)-1))</f>
        <v>-1.0081389226468507E-2</v>
      </c>
      <c r="G33" s="681">
        <f>IF(ISERROR((G32/F32)-1),0,((G32/F32)-1))</f>
        <v>0</v>
      </c>
      <c r="H33" s="684">
        <f>IF(ISERROR((H32/G32)-1),0,((H32/G32)-1))</f>
        <v>0</v>
      </c>
      <c r="I33" s="685"/>
      <c r="J33" s="684">
        <f>IF(ISERROR((J32/H32)-1),0,((J32/H32)-1))</f>
        <v>8.5467191626440231E-2</v>
      </c>
      <c r="K33" s="681">
        <f>IF(ISERROR((K32/J32)-1),0,((K32/J32)-1))</f>
        <v>8.5885141879366911E-2</v>
      </c>
      <c r="L33" s="682">
        <f>IF(ISERROR((L32/K32)-1),0,((L32/K32)-1))</f>
        <v>8.6281751405474116E-2</v>
      </c>
    </row>
    <row r="34" spans="1:15" ht="4.5" customHeight="1" x14ac:dyDescent="0.25">
      <c r="A34" s="527"/>
      <c r="B34" s="667"/>
      <c r="C34" s="686"/>
      <c r="D34" s="686"/>
      <c r="E34" s="687">
        <f>IF(ISERROR((E33/D33)-1),0,((E33/D33)-1))</f>
        <v>0.27267269867174138</v>
      </c>
      <c r="F34" s="688">
        <f>IF(ISERROR((F33/E33)-1),0,((F33/E33)-1))</f>
        <v>-1.0431371754636887</v>
      </c>
      <c r="G34" s="686">
        <f>IF(ISERROR((G33/F33)-1),0,((G33/F33)-1))</f>
        <v>-1</v>
      </c>
      <c r="H34" s="689">
        <f>IF(ISERROR((H33/G33)-1),0,((H33/G33)-1))</f>
        <v>0</v>
      </c>
      <c r="I34" s="672"/>
      <c r="J34" s="689"/>
      <c r="K34" s="686"/>
      <c r="L34" s="687"/>
    </row>
    <row r="35" spans="1:15" ht="25.5" customHeight="1" x14ac:dyDescent="0.25">
      <c r="A35" s="690" t="s">
        <v>2194</v>
      </c>
      <c r="B35" s="691">
        <v>3</v>
      </c>
      <c r="C35" s="692"/>
      <c r="D35" s="692"/>
      <c r="E35" s="693"/>
      <c r="F35" s="694"/>
      <c r="G35" s="692"/>
      <c r="H35" s="695"/>
      <c r="I35" s="696"/>
      <c r="J35" s="695"/>
      <c r="K35" s="692"/>
      <c r="L35" s="693"/>
    </row>
    <row r="36" spans="1:15" x14ac:dyDescent="0.25">
      <c r="A36" s="297" t="str">
        <f>A6</f>
        <v>Rates and services charges:</v>
      </c>
      <c r="B36" s="667"/>
      <c r="C36" s="668"/>
      <c r="D36" s="668"/>
      <c r="E36" s="669"/>
      <c r="F36" s="670"/>
      <c r="G36" s="668"/>
      <c r="H36" s="671"/>
      <c r="I36" s="672"/>
      <c r="J36" s="671"/>
      <c r="K36" s="668"/>
      <c r="L36" s="669"/>
    </row>
    <row r="37" spans="1:15" x14ac:dyDescent="0.25">
      <c r="A37" s="304" t="str">
        <f t="shared" ref="A37:A46" si="5">A7</f>
        <v>Property rates</v>
      </c>
      <c r="B37" s="667"/>
      <c r="C37" s="1903"/>
      <c r="D37" s="1903"/>
      <c r="E37" s="1904"/>
      <c r="F37" s="1905">
        <v>1560</v>
      </c>
      <c r="G37" s="1903">
        <v>1560</v>
      </c>
      <c r="H37" s="1906">
        <v>1560</v>
      </c>
      <c r="I37" s="1907">
        <v>5.5E-2</v>
      </c>
      <c r="J37" s="1906">
        <v>1645.8</v>
      </c>
      <c r="K37" s="1903">
        <v>1736.32</v>
      </c>
      <c r="L37" s="1904">
        <v>1831.82</v>
      </c>
      <c r="O37" s="370"/>
    </row>
    <row r="38" spans="1:15" x14ac:dyDescent="0.25">
      <c r="A38" s="304" t="str">
        <f t="shared" si="5"/>
        <v>Electricity: Basic levy</v>
      </c>
      <c r="B38" s="667"/>
      <c r="C38" s="1903"/>
      <c r="D38" s="1903"/>
      <c r="E38" s="1904"/>
      <c r="F38" s="1905"/>
      <c r="G38" s="1903"/>
      <c r="H38" s="1906"/>
      <c r="I38" s="1907"/>
      <c r="J38" s="1906"/>
      <c r="K38" s="1903"/>
      <c r="L38" s="1904"/>
    </row>
    <row r="39" spans="1:15" x14ac:dyDescent="0.25">
      <c r="A39" s="304" t="str">
        <f t="shared" si="5"/>
        <v>Electricity: Consumption</v>
      </c>
      <c r="B39" s="667"/>
      <c r="C39" s="1903">
        <v>2.4500000000000002</v>
      </c>
      <c r="D39" s="1903">
        <v>3.13</v>
      </c>
      <c r="E39" s="1904"/>
      <c r="F39" s="1905">
        <v>141.71</v>
      </c>
      <c r="G39" s="1903">
        <v>141.71</v>
      </c>
      <c r="H39" s="1906">
        <v>141.71</v>
      </c>
      <c r="I39" s="1907">
        <v>0.1</v>
      </c>
      <c r="J39" s="1906">
        <v>155.88999999999999</v>
      </c>
      <c r="K39" s="1903">
        <v>171.48</v>
      </c>
      <c r="L39" s="1904">
        <v>188.63</v>
      </c>
    </row>
    <row r="40" spans="1:15" x14ac:dyDescent="0.25">
      <c r="A40" s="304" t="str">
        <f t="shared" si="5"/>
        <v>Water: Basic levy</v>
      </c>
      <c r="B40" s="667"/>
      <c r="C40" s="1903"/>
      <c r="D40" s="1903"/>
      <c r="E40" s="1904"/>
      <c r="F40" s="1905"/>
      <c r="G40" s="1903"/>
      <c r="H40" s="1906"/>
      <c r="I40" s="1907"/>
      <c r="J40" s="1906"/>
      <c r="K40" s="1903"/>
      <c r="L40" s="1904"/>
    </row>
    <row r="41" spans="1:15" x14ac:dyDescent="0.25">
      <c r="A41" s="304" t="str">
        <f t="shared" si="5"/>
        <v>Water: Consumption</v>
      </c>
      <c r="B41" s="667"/>
      <c r="C41" s="1903"/>
      <c r="D41" s="1903"/>
      <c r="E41" s="1904"/>
      <c r="F41" s="1905">
        <v>32.520000000000003</v>
      </c>
      <c r="G41" s="1903">
        <v>32.520000000000003</v>
      </c>
      <c r="H41" s="1906">
        <v>32.520000000000003</v>
      </c>
      <c r="I41" s="1907">
        <v>0.1</v>
      </c>
      <c r="J41" s="1906">
        <v>35.78</v>
      </c>
      <c r="K41" s="1903">
        <v>39.36</v>
      </c>
      <c r="L41" s="1904">
        <v>43.3</v>
      </c>
    </row>
    <row r="42" spans="1:15" x14ac:dyDescent="0.25">
      <c r="A42" s="304" t="str">
        <f t="shared" si="5"/>
        <v>Sanitation</v>
      </c>
      <c r="B42" s="667"/>
      <c r="C42" s="1903"/>
      <c r="D42" s="1903"/>
      <c r="E42" s="1904"/>
      <c r="F42" s="1905">
        <v>51</v>
      </c>
      <c r="G42" s="1903">
        <v>51</v>
      </c>
      <c r="H42" s="1906">
        <v>51</v>
      </c>
      <c r="I42" s="1907">
        <v>5.5E-2</v>
      </c>
      <c r="J42" s="1906">
        <v>53.81</v>
      </c>
      <c r="K42" s="1903">
        <v>56.77</v>
      </c>
      <c r="L42" s="1904">
        <v>62.45</v>
      </c>
    </row>
    <row r="43" spans="1:15" x14ac:dyDescent="0.25">
      <c r="A43" s="304" t="str">
        <f t="shared" si="5"/>
        <v>Refuse removal</v>
      </c>
      <c r="B43" s="667"/>
      <c r="C43" s="1903"/>
      <c r="D43" s="1903"/>
      <c r="E43" s="1904"/>
      <c r="F43" s="1905">
        <v>32.979999999999997</v>
      </c>
      <c r="G43" s="1903">
        <v>32.979999999999997</v>
      </c>
      <c r="H43" s="1906">
        <v>32.979999999999997</v>
      </c>
      <c r="I43" s="1907">
        <v>5.5E-2</v>
      </c>
      <c r="J43" s="1906">
        <v>34.799999999999997</v>
      </c>
      <c r="K43" s="1903">
        <v>36.72</v>
      </c>
      <c r="L43" s="1904">
        <v>38.74</v>
      </c>
    </row>
    <row r="44" spans="1:15" x14ac:dyDescent="0.25">
      <c r="A44" s="304" t="str">
        <f t="shared" si="5"/>
        <v>Other</v>
      </c>
      <c r="B44" s="667"/>
      <c r="C44" s="1903"/>
      <c r="D44" s="1903"/>
      <c r="E44" s="1904"/>
      <c r="F44" s="1905"/>
      <c r="G44" s="1903"/>
      <c r="H44" s="1906"/>
      <c r="I44" s="1907" t="s">
        <v>1938</v>
      </c>
      <c r="J44" s="1906"/>
      <c r="K44" s="1903"/>
      <c r="L44" s="1904"/>
    </row>
    <row r="45" spans="1:15" x14ac:dyDescent="0.25">
      <c r="A45" s="673" t="str">
        <f t="shared" si="5"/>
        <v>sub-total</v>
      </c>
      <c r="B45" s="697"/>
      <c r="C45" s="674">
        <f>SUM(C37:C44)</f>
        <v>2.4500000000000002</v>
      </c>
      <c r="D45" s="674">
        <f>SUM(D37:D44)</f>
        <v>3.13</v>
      </c>
      <c r="E45" s="675">
        <f>SUM(E37:E44)</f>
        <v>0</v>
      </c>
      <c r="F45" s="676">
        <f>SUM(F37:F44)</f>
        <v>1818.21</v>
      </c>
      <c r="G45" s="674">
        <f t="shared" ref="G45:L45" si="6">SUM(G37:G44)</f>
        <v>1818.21</v>
      </c>
      <c r="H45" s="677">
        <f t="shared" si="6"/>
        <v>1818.21</v>
      </c>
      <c r="I45" s="678">
        <f>IF(ISERROR(ROUND((J45-F45)/F45,3)),0,(ROUND((J45-F45)/F45,3)))</f>
        <v>5.8999999999999997E-2</v>
      </c>
      <c r="J45" s="677">
        <f t="shared" si="6"/>
        <v>1926.08</v>
      </c>
      <c r="K45" s="674">
        <f t="shared" si="6"/>
        <v>2040.6499999999999</v>
      </c>
      <c r="L45" s="675">
        <f t="shared" si="6"/>
        <v>2164.9399999999996</v>
      </c>
    </row>
    <row r="46" spans="1:15" x14ac:dyDescent="0.25">
      <c r="A46" s="304" t="str">
        <f t="shared" si="5"/>
        <v>VAT on Services</v>
      </c>
      <c r="B46" s="667"/>
      <c r="C46" s="1903"/>
      <c r="D46" s="1903"/>
      <c r="E46" s="1904"/>
      <c r="F46" s="1905"/>
      <c r="G46" s="1903"/>
      <c r="H46" s="1906"/>
      <c r="I46" s="1907" t="str">
        <f>IF(J46&gt;0,I13ROUND((J46-F46)/F46,3),"")</f>
        <v/>
      </c>
      <c r="J46" s="1906"/>
      <c r="K46" s="1903"/>
      <c r="L46" s="1904"/>
    </row>
    <row r="47" spans="1:15" x14ac:dyDescent="0.25">
      <c r="A47" s="297" t="s">
        <v>825</v>
      </c>
      <c r="B47" s="667"/>
      <c r="C47" s="674">
        <f>SUM(C45:C46)</f>
        <v>2.4500000000000002</v>
      </c>
      <c r="D47" s="674">
        <f>SUM(D45:D46)</f>
        <v>3.13</v>
      </c>
      <c r="E47" s="675">
        <f>SUM(E45:E46)</f>
        <v>0</v>
      </c>
      <c r="F47" s="676">
        <f>SUM(F45:F46)</f>
        <v>1818.21</v>
      </c>
      <c r="G47" s="674">
        <f t="shared" ref="G47:L47" si="7">SUM(G45:G46)</f>
        <v>1818.21</v>
      </c>
      <c r="H47" s="677">
        <f t="shared" si="7"/>
        <v>1818.21</v>
      </c>
      <c r="I47" s="678">
        <f>IF(ISERROR(ROUND((J47-F47)/F47,3)),0,(ROUND((J47-F47)/F47,3)))</f>
        <v>5.8999999999999997E-2</v>
      </c>
      <c r="J47" s="677">
        <f t="shared" si="7"/>
        <v>1926.08</v>
      </c>
      <c r="K47" s="674">
        <f t="shared" si="7"/>
        <v>2040.6499999999999</v>
      </c>
      <c r="L47" s="675">
        <f t="shared" si="7"/>
        <v>2164.9399999999996</v>
      </c>
    </row>
    <row r="48" spans="1:15" x14ac:dyDescent="0.25">
      <c r="A48" s="679" t="str">
        <f>A18</f>
        <v>% increase/-decrease</v>
      </c>
      <c r="B48" s="667"/>
      <c r="C48" s="680"/>
      <c r="D48" s="681">
        <f>IF(ISERROR((D47/C47)-1),0,((D47/C47)-1))</f>
        <v>0.27755102040816304</v>
      </c>
      <c r="E48" s="682">
        <f>IF(ISERROR((E47/D47)-1),0,((E47/D47)-1))</f>
        <v>-1</v>
      </c>
      <c r="F48" s="683">
        <f>IF(ISERROR((F47/E47)-1),0,((F47/E47)-1))</f>
        <v>0</v>
      </c>
      <c r="G48" s="681">
        <f>IF(ISERROR((G47/F47)-1),0,((G47/F47)-1))</f>
        <v>0</v>
      </c>
      <c r="H48" s="684">
        <f>IF(ISERROR((H47/G47)-1),0,((H47/G47)-1))</f>
        <v>0</v>
      </c>
      <c r="I48" s="685"/>
      <c r="J48" s="684">
        <f>IF(ISERROR((J47/H47)-1),0,((J47/H47)-1))</f>
        <v>5.9327580422503301E-2</v>
      </c>
      <c r="K48" s="681">
        <f>IF(ISERROR((K47/J47)-1),0,((K47/J47)-1))</f>
        <v>5.9483510549925178E-2</v>
      </c>
      <c r="L48" s="682">
        <f>IF(ISERROR((L47/K47)-1),0,((L47/K47)-1))</f>
        <v>6.0907063925709881E-2</v>
      </c>
    </row>
    <row r="49" spans="1:40" ht="5.15" customHeight="1" x14ac:dyDescent="0.25">
      <c r="A49" s="698"/>
      <c r="B49" s="699"/>
      <c r="C49" s="699"/>
      <c r="D49" s="699"/>
      <c r="E49" s="700"/>
      <c r="F49" s="701"/>
      <c r="G49" s="699"/>
      <c r="H49" s="702"/>
      <c r="I49" s="703"/>
      <c r="J49" s="702"/>
      <c r="K49" s="699"/>
      <c r="L49" s="700"/>
    </row>
    <row r="50" spans="1:40" s="709" customFormat="1" x14ac:dyDescent="0.25">
      <c r="A50" s="1157" t="str">
        <f>head27a</f>
        <v>References</v>
      </c>
      <c r="B50" s="1048"/>
      <c r="C50" s="708"/>
      <c r="D50" s="708"/>
      <c r="E50" s="708"/>
      <c r="F50" s="1076"/>
      <c r="G50" s="708"/>
      <c r="H50" s="708"/>
      <c r="I50" s="708"/>
      <c r="J50" s="708"/>
      <c r="K50" s="708"/>
    </row>
    <row r="51" spans="1:40" s="709" customFormat="1" x14ac:dyDescent="0.25">
      <c r="A51" s="1415" t="s">
        <v>2197</v>
      </c>
      <c r="B51" s="1077"/>
      <c r="C51" s="1078"/>
      <c r="D51" s="1078"/>
      <c r="E51" s="1078"/>
      <c r="F51" s="1078"/>
      <c r="G51" s="1078"/>
      <c r="H51" s="1078"/>
      <c r="I51" s="1078"/>
      <c r="J51" s="1078"/>
      <c r="K51" s="1078"/>
      <c r="L51" s="1078"/>
      <c r="M51" s="1078"/>
      <c r="N51" s="1078"/>
      <c r="O51" s="1078"/>
      <c r="P51" s="1078"/>
      <c r="Q51" s="1078"/>
      <c r="R51" s="1078"/>
      <c r="S51" s="1078"/>
      <c r="T51" s="1078"/>
      <c r="U51" s="1078"/>
      <c r="V51" s="1078"/>
      <c r="W51" s="1078"/>
      <c r="X51" s="1078"/>
      <c r="Y51" s="1078"/>
      <c r="Z51" s="1078"/>
      <c r="AA51" s="1078"/>
      <c r="AB51" s="1078"/>
      <c r="AC51" s="1078"/>
      <c r="AD51" s="1078"/>
      <c r="AE51" s="1078"/>
      <c r="AF51" s="1078"/>
      <c r="AG51" s="1078"/>
      <c r="AH51" s="1078"/>
      <c r="AI51" s="1078"/>
      <c r="AJ51" s="1078"/>
      <c r="AK51" s="1078"/>
      <c r="AL51" s="1078"/>
      <c r="AM51" s="1078"/>
      <c r="AN51" s="1078"/>
    </row>
    <row r="52" spans="1:40" s="709" customFormat="1" x14ac:dyDescent="0.25">
      <c r="A52" s="1415" t="s">
        <v>2198</v>
      </c>
      <c r="B52" s="1077"/>
      <c r="C52" s="1078"/>
      <c r="D52" s="1078"/>
      <c r="E52" s="1078"/>
      <c r="F52" s="1078"/>
      <c r="G52" s="1078"/>
      <c r="H52" s="1078"/>
      <c r="I52" s="1078"/>
      <c r="J52" s="1078"/>
      <c r="K52" s="1078"/>
      <c r="L52" s="1078"/>
      <c r="M52" s="1078"/>
      <c r="N52" s="1078"/>
      <c r="O52" s="1078"/>
      <c r="P52" s="1078"/>
      <c r="Q52" s="1078"/>
      <c r="R52" s="1078"/>
      <c r="S52" s="1078"/>
      <c r="T52" s="1078"/>
      <c r="U52" s="1078"/>
      <c r="V52" s="1078"/>
      <c r="W52" s="1078"/>
      <c r="X52" s="1078"/>
      <c r="Y52" s="1078"/>
      <c r="Z52" s="1078"/>
      <c r="AA52" s="1078"/>
      <c r="AB52" s="1078"/>
      <c r="AC52" s="1078"/>
      <c r="AD52" s="1078"/>
      <c r="AE52" s="1078"/>
      <c r="AF52" s="1078"/>
      <c r="AG52" s="1078"/>
      <c r="AH52" s="1078"/>
      <c r="AI52" s="1078"/>
      <c r="AJ52" s="1078"/>
      <c r="AK52" s="1078"/>
      <c r="AL52" s="1078"/>
      <c r="AM52" s="1078"/>
      <c r="AN52" s="1078"/>
    </row>
    <row r="53" spans="1:40" s="709" customFormat="1" x14ac:dyDescent="0.25">
      <c r="A53" s="1415" t="s">
        <v>2237</v>
      </c>
      <c r="B53" s="1077"/>
      <c r="C53" s="1078"/>
      <c r="D53" s="1078"/>
      <c r="E53" s="1078"/>
      <c r="F53" s="1078"/>
      <c r="G53" s="1078"/>
      <c r="H53" s="1078"/>
      <c r="I53" s="1078"/>
      <c r="J53" s="1078"/>
      <c r="K53" s="1078"/>
      <c r="L53" s="1078"/>
      <c r="M53" s="1078"/>
      <c r="N53" s="1078"/>
      <c r="O53" s="1078"/>
      <c r="P53" s="1078"/>
      <c r="Q53" s="1078"/>
      <c r="R53" s="1078"/>
      <c r="S53" s="1078"/>
      <c r="T53" s="1078"/>
      <c r="U53" s="1078"/>
      <c r="V53" s="1078"/>
      <c r="W53" s="1078"/>
      <c r="X53" s="1078"/>
      <c r="Y53" s="1078"/>
      <c r="Z53" s="1078"/>
      <c r="AA53" s="1078"/>
      <c r="AB53" s="1078"/>
      <c r="AC53" s="1078"/>
      <c r="AD53" s="1078"/>
      <c r="AE53" s="1078"/>
      <c r="AF53" s="1078"/>
      <c r="AG53" s="1078"/>
      <c r="AH53" s="1078"/>
      <c r="AI53" s="1078"/>
      <c r="AJ53" s="1078"/>
      <c r="AK53" s="1078"/>
      <c r="AL53" s="1078"/>
      <c r="AM53" s="1078"/>
      <c r="AN53" s="1078"/>
    </row>
    <row r="55" spans="1:40" x14ac:dyDescent="0.25">
      <c r="A55" s="707"/>
      <c r="B55" s="704"/>
      <c r="C55" s="705"/>
      <c r="D55" s="705"/>
      <c r="E55" s="705"/>
      <c r="F55" s="706"/>
      <c r="G55" s="705"/>
      <c r="H55" s="705"/>
      <c r="I55" s="705"/>
      <c r="J55" s="705"/>
      <c r="K55" s="708"/>
      <c r="L55" s="709"/>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row>
    <row r="56" spans="1:40" x14ac:dyDescent="0.25">
      <c r="A56" s="707"/>
      <c r="B56" s="704"/>
      <c r="C56" s="705"/>
      <c r="D56" s="705"/>
      <c r="E56" s="705"/>
      <c r="F56" s="706"/>
      <c r="G56" s="705"/>
      <c r="H56" s="705"/>
      <c r="I56" s="705"/>
      <c r="J56" s="705"/>
      <c r="K56" s="708"/>
      <c r="L56" s="709"/>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row>
    <row r="57" spans="1:40" x14ac:dyDescent="0.25">
      <c r="A57" s="707"/>
      <c r="B57" s="704"/>
      <c r="C57" s="705"/>
      <c r="D57" s="705"/>
      <c r="E57" s="705"/>
      <c r="F57" s="706"/>
      <c r="G57" s="705"/>
      <c r="H57" s="705"/>
      <c r="I57" s="705"/>
      <c r="J57" s="705"/>
      <c r="K57" s="708"/>
      <c r="L57" s="709"/>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row>
    <row r="58" spans="1:40" x14ac:dyDescent="0.25">
      <c r="K58" s="708"/>
      <c r="L58" s="709"/>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row>
    <row r="59" spans="1:40" x14ac:dyDescent="0.25">
      <c r="K59" s="708"/>
      <c r="L59" s="709"/>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row>
    <row r="60" spans="1:40" x14ac:dyDescent="0.25">
      <c r="K60" s="708"/>
      <c r="L60" s="709"/>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row>
    <row r="61" spans="1:40" x14ac:dyDescent="0.25">
      <c r="K61" s="708"/>
      <c r="L61" s="709"/>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row>
    <row r="62" spans="1:40" x14ac:dyDescent="0.25">
      <c r="K62" s="708"/>
      <c r="L62" s="709"/>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row>
    <row r="63" spans="1:40" x14ac:dyDescent="0.25">
      <c r="K63" s="708"/>
      <c r="L63" s="709"/>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row>
    <row r="64" spans="1:40" x14ac:dyDescent="0.25">
      <c r="K64" s="708"/>
      <c r="L64" s="709"/>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row>
    <row r="65" spans="11:40" x14ac:dyDescent="0.25">
      <c r="K65" s="708"/>
      <c r="L65" s="709"/>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row>
    <row r="66" spans="11:40" x14ac:dyDescent="0.25">
      <c r="K66" s="708"/>
      <c r="L66" s="709"/>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row>
    <row r="67" spans="11:40" x14ac:dyDescent="0.25">
      <c r="K67" s="708"/>
      <c r="L67" s="709"/>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row>
    <row r="68" spans="11:40" x14ac:dyDescent="0.25">
      <c r="K68" s="708"/>
      <c r="L68" s="709"/>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row>
    <row r="69" spans="11:40" x14ac:dyDescent="0.25">
      <c r="K69" s="708"/>
      <c r="L69" s="709"/>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row>
    <row r="70" spans="11:40" x14ac:dyDescent="0.25">
      <c r="K70" s="708"/>
      <c r="L70" s="709"/>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row>
    <row r="71" spans="11:40" x14ac:dyDescent="0.25">
      <c r="K71" s="708"/>
      <c r="L71" s="709"/>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row>
    <row r="72" spans="11:40" x14ac:dyDescent="0.25">
      <c r="K72" s="708"/>
      <c r="L72" s="709"/>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row>
    <row r="73" spans="11:40" x14ac:dyDescent="0.25">
      <c r="K73" s="708"/>
      <c r="L73" s="709"/>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row>
    <row r="74" spans="11:40" x14ac:dyDescent="0.25">
      <c r="K74" s="708"/>
      <c r="L74" s="709"/>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row>
    <row r="75" spans="11:40" x14ac:dyDescent="0.25">
      <c r="K75" s="708"/>
      <c r="L75" s="709"/>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row>
    <row r="76" spans="11:40" x14ac:dyDescent="0.25">
      <c r="K76" s="708"/>
      <c r="L76" s="709"/>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row>
    <row r="77" spans="11:40" x14ac:dyDescent="0.25">
      <c r="K77" s="708"/>
      <c r="L77" s="709"/>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row>
    <row r="78" spans="11:40" x14ac:dyDescent="0.25">
      <c r="K78" s="708"/>
      <c r="L78" s="709"/>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row>
    <row r="79" spans="11:40" x14ac:dyDescent="0.25">
      <c r="K79" s="708"/>
      <c r="L79" s="709"/>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row>
    <row r="80" spans="11:40" x14ac:dyDescent="0.25">
      <c r="K80" s="708"/>
      <c r="L80" s="709"/>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row>
    <row r="81" spans="11:40" x14ac:dyDescent="0.25">
      <c r="K81" s="708"/>
      <c r="L81" s="709"/>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row>
    <row r="82" spans="11:40" x14ac:dyDescent="0.25">
      <c r="K82" s="708"/>
      <c r="L82" s="709"/>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row>
    <row r="83" spans="11:40" x14ac:dyDescent="0.25">
      <c r="K83" s="708"/>
      <c r="L83" s="709"/>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row>
    <row r="84" spans="11:40" x14ac:dyDescent="0.25">
      <c r="K84" s="708"/>
      <c r="L84" s="709"/>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row>
    <row r="85" spans="11:40" x14ac:dyDescent="0.25">
      <c r="K85" s="708"/>
      <c r="L85" s="709"/>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row>
    <row r="86" spans="11:40" x14ac:dyDescent="0.25">
      <c r="K86" s="708"/>
      <c r="L86" s="709"/>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row>
    <row r="87" spans="11:40" x14ac:dyDescent="0.25">
      <c r="K87" s="708"/>
      <c r="L87" s="709"/>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row>
    <row r="88" spans="11:40" x14ac:dyDescent="0.25">
      <c r="K88" s="708"/>
      <c r="L88" s="709"/>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row>
    <row r="89" spans="11:40" x14ac:dyDescent="0.25">
      <c r="K89" s="708"/>
      <c r="L89" s="709"/>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row>
    <row r="90" spans="11:40" x14ac:dyDescent="0.25">
      <c r="K90" s="708"/>
      <c r="L90" s="709"/>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row>
    <row r="91" spans="11:40" x14ac:dyDescent="0.25">
      <c r="K91" s="708"/>
      <c r="L91" s="709"/>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row>
    <row r="92" spans="11:40" x14ac:dyDescent="0.25">
      <c r="K92" s="708"/>
      <c r="L92" s="709"/>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row>
    <row r="93" spans="11:40" x14ac:dyDescent="0.25">
      <c r="K93" s="708"/>
      <c r="L93" s="709"/>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row>
    <row r="94" spans="11:40" x14ac:dyDescent="0.25">
      <c r="K94" s="708"/>
      <c r="L94" s="709"/>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row>
    <row r="95" spans="11:40" x14ac:dyDescent="0.25">
      <c r="K95" s="708"/>
      <c r="L95" s="709"/>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row>
    <row r="96" spans="11:40" x14ac:dyDescent="0.25">
      <c r="K96" s="708"/>
      <c r="L96" s="709"/>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row>
    <row r="97" spans="11:40" x14ac:dyDescent="0.25">
      <c r="K97" s="708"/>
      <c r="L97" s="709"/>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row>
    <row r="98" spans="11:40" x14ac:dyDescent="0.25">
      <c r="K98" s="708"/>
      <c r="L98" s="709"/>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row>
    <row r="99" spans="11:40" x14ac:dyDescent="0.25">
      <c r="K99" s="708"/>
      <c r="L99" s="709"/>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row>
    <row r="100" spans="11:40" x14ac:dyDescent="0.25">
      <c r="K100" s="708"/>
      <c r="L100" s="709"/>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row>
    <row r="101" spans="11:40" x14ac:dyDescent="0.25">
      <c r="K101" s="708"/>
      <c r="L101" s="709"/>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row>
    <row r="102" spans="11:40" x14ac:dyDescent="0.25">
      <c r="K102" s="708"/>
      <c r="L102" s="709"/>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row>
    <row r="103" spans="11:40" x14ac:dyDescent="0.25">
      <c r="K103" s="708"/>
      <c r="L103" s="709"/>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row>
    <row r="104" spans="11:40" x14ac:dyDescent="0.25">
      <c r="K104" s="708"/>
      <c r="L104" s="709"/>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row>
    <row r="105" spans="11:40" x14ac:dyDescent="0.25">
      <c r="K105" s="708"/>
      <c r="L105" s="709"/>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row>
    <row r="106" spans="11:40" x14ac:dyDescent="0.25">
      <c r="K106" s="708"/>
      <c r="L106" s="709"/>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row>
    <row r="107" spans="11:40" x14ac:dyDescent="0.25">
      <c r="K107" s="708"/>
      <c r="L107" s="709"/>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row>
    <row r="108" spans="11:40" x14ac:dyDescent="0.25">
      <c r="K108" s="708"/>
      <c r="L108" s="709"/>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row>
    <row r="109" spans="11:40" x14ac:dyDescent="0.25">
      <c r="K109" s="708"/>
      <c r="L109" s="709"/>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row>
    <row r="110" spans="11:40" x14ac:dyDescent="0.25">
      <c r="K110" s="708"/>
      <c r="L110" s="709"/>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row>
    <row r="111" spans="11:40" x14ac:dyDescent="0.25">
      <c r="K111" s="708"/>
      <c r="L111" s="709"/>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row>
    <row r="112" spans="11:40" x14ac:dyDescent="0.25">
      <c r="K112" s="708"/>
      <c r="L112" s="709"/>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row>
    <row r="113" spans="11:40" x14ac:dyDescent="0.25">
      <c r="K113" s="708"/>
      <c r="L113" s="709"/>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row>
    <row r="114" spans="11:40" x14ac:dyDescent="0.25">
      <c r="K114" s="708"/>
      <c r="L114" s="709"/>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row>
    <row r="115" spans="11:40" x14ac:dyDescent="0.25">
      <c r="K115" s="708"/>
      <c r="L115" s="709"/>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row>
    <row r="116" spans="11:40" x14ac:dyDescent="0.25">
      <c r="K116" s="708"/>
      <c r="L116" s="709"/>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row>
    <row r="117" spans="11:40" x14ac:dyDescent="0.25">
      <c r="K117" s="708"/>
      <c r="L117" s="709"/>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row>
    <row r="118" spans="11:40" x14ac:dyDescent="0.25">
      <c r="K118" s="708"/>
      <c r="L118" s="709"/>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row>
  </sheetData>
  <sheetProtection sheet="1" objects="1" scenarios="1"/>
  <mergeCells count="3">
    <mergeCell ref="B2:B4"/>
    <mergeCell ref="F2:H2"/>
    <mergeCell ref="A2:A3"/>
  </mergeCells>
  <phoneticPr fontId="2" type="noConversion"/>
  <printOptions horizontalCentered="1"/>
  <pageMargins left="0" right="0" top="0.78740157480314965" bottom="0.59055118110236227" header="0.51181102362204722" footer="0.51181102362204722"/>
  <pageSetup paperSize="9" scale="81"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enableFormatConditionsCalculation="0">
    <tabColor indexed="42"/>
    <pageSetUpPr fitToPage="1"/>
  </sheetPr>
  <dimension ref="A1:O70"/>
  <sheetViews>
    <sheetView showGridLines="0" zoomScaleNormal="100" workbookViewId="0">
      <pane xSplit="2" ySplit="4" topLeftCell="C29" activePane="bottomRight" state="frozen"/>
      <selection pane="topRight"/>
      <selection pane="bottomLeft"/>
      <selection pane="bottomRight" activeCell="H43" sqref="H43"/>
    </sheetView>
  </sheetViews>
  <sheetFormatPr defaultColWidth="9.1796875" defaultRowHeight="10.5" x14ac:dyDescent="0.25"/>
  <cols>
    <col min="1" max="1" width="30.7265625" style="149" customWidth="1"/>
    <col min="2" max="2" width="3" style="247" customWidth="1"/>
    <col min="3" max="11" width="9.26953125" style="149" customWidth="1"/>
    <col min="12" max="12" width="9.81640625" style="149" customWidth="1"/>
    <col min="13" max="13" width="9.54296875" style="149" customWidth="1"/>
    <col min="14" max="14" width="9.81640625" style="149" customWidth="1"/>
    <col min="15" max="17" width="9.54296875" style="149" customWidth="1"/>
    <col min="18" max="18" width="9.81640625" style="149" customWidth="1"/>
    <col min="19" max="21" width="9.54296875" style="149" customWidth="1"/>
    <col min="22" max="23" width="9.81640625" style="149" customWidth="1"/>
    <col min="24" max="16384" width="9.1796875" style="149"/>
  </cols>
  <sheetData>
    <row r="1" spans="1:11" ht="13" x14ac:dyDescent="0.3">
      <c r="A1" s="147" t="str">
        <f>muni&amp;" - "&amp;TableA15</f>
        <v>KZN225 Msunduzi - Supporting Table SA15 Investment particulars by type</v>
      </c>
      <c r="B1" s="147"/>
      <c r="C1" s="147"/>
      <c r="D1" s="147"/>
      <c r="E1" s="147"/>
      <c r="F1" s="147"/>
      <c r="G1" s="147"/>
      <c r="H1" s="147"/>
      <c r="I1" s="147"/>
      <c r="J1" s="147"/>
      <c r="K1" s="147"/>
    </row>
    <row r="2" spans="1:11" ht="28.5" customHeight="1" x14ac:dyDescent="0.25">
      <c r="A2" s="2727" t="s">
        <v>585</v>
      </c>
      <c r="B2" s="2703" t="str">
        <f>head27</f>
        <v>Ref</v>
      </c>
      <c r="C2" s="145" t="str">
        <f>head1b</f>
        <v>2009/10</v>
      </c>
      <c r="D2" s="150" t="str">
        <f>head1A</f>
        <v>2010/11</v>
      </c>
      <c r="E2" s="146" t="str">
        <f>Head1</f>
        <v>2011/12</v>
      </c>
      <c r="F2" s="2677" t="str">
        <f>Head2</f>
        <v>Current Year 2012/13</v>
      </c>
      <c r="G2" s="2678"/>
      <c r="H2" s="2682"/>
      <c r="I2" s="2674" t="str">
        <f>Head3</f>
        <v>2013/14 Medium Term Revenue &amp; Expenditure Framework</v>
      </c>
      <c r="J2" s="2675"/>
      <c r="K2" s="2676"/>
    </row>
    <row r="3" spans="1:11" ht="21" x14ac:dyDescent="0.25">
      <c r="A3" s="2728"/>
      <c r="B3" s="2704"/>
      <c r="C3" s="154" t="str">
        <f>Head5</f>
        <v>Audited Outcome</v>
      </c>
      <c r="D3" s="152" t="str">
        <f>Head5</f>
        <v>Audited Outcome</v>
      </c>
      <c r="E3" s="153" t="str">
        <f>Head5</f>
        <v>Audited Outcome</v>
      </c>
      <c r="F3" s="151" t="str">
        <f>Head6</f>
        <v>Original Budget</v>
      </c>
      <c r="G3" s="152" t="str">
        <f>Head7</f>
        <v>Adjusted Budget</v>
      </c>
      <c r="H3" s="153" t="str">
        <f>Head8</f>
        <v>Full Year Forecast</v>
      </c>
      <c r="I3" s="151" t="str">
        <f>Head9</f>
        <v>Budget Year 2013/14</v>
      </c>
      <c r="J3" s="152" t="str">
        <f>Head10</f>
        <v>Budget Year +1 2014/15</v>
      </c>
      <c r="K3" s="153" t="str">
        <f>Head11</f>
        <v>Budget Year +2 2015/16</v>
      </c>
    </row>
    <row r="4" spans="1:11" x14ac:dyDescent="0.25">
      <c r="A4" s="180" t="s">
        <v>665</v>
      </c>
      <c r="B4" s="2709"/>
      <c r="C4" s="138"/>
      <c r="D4" s="138"/>
      <c r="E4" s="156"/>
      <c r="F4" s="155"/>
      <c r="G4" s="138"/>
      <c r="H4" s="156"/>
      <c r="I4" s="155"/>
      <c r="J4" s="138"/>
      <c r="K4" s="156"/>
    </row>
    <row r="5" spans="1:11" x14ac:dyDescent="0.25">
      <c r="A5" s="249" t="s">
        <v>178</v>
      </c>
      <c r="B5" s="291"/>
      <c r="C5" s="710"/>
      <c r="D5" s="710"/>
      <c r="E5" s="711"/>
      <c r="F5" s="712"/>
      <c r="G5" s="710"/>
      <c r="H5" s="713"/>
      <c r="I5" s="714"/>
      <c r="J5" s="710"/>
      <c r="K5" s="711"/>
    </row>
    <row r="6" spans="1:11" ht="11.25" customHeight="1" x14ac:dyDescent="0.25">
      <c r="A6" s="250" t="s">
        <v>1560</v>
      </c>
      <c r="B6" s="293"/>
      <c r="C6" s="1908"/>
      <c r="D6" s="1908"/>
      <c r="E6" s="1909"/>
      <c r="F6" s="1910"/>
      <c r="G6" s="1908"/>
      <c r="H6" s="1911"/>
      <c r="I6" s="1912"/>
      <c r="J6" s="1908"/>
      <c r="K6" s="1909"/>
    </row>
    <row r="7" spans="1:11" ht="11.25" customHeight="1" x14ac:dyDescent="0.25">
      <c r="A7" s="250" t="s">
        <v>1561</v>
      </c>
      <c r="B7" s="293"/>
      <c r="C7" s="1908"/>
      <c r="D7" s="1908"/>
      <c r="E7" s="1909"/>
      <c r="F7" s="1910"/>
      <c r="G7" s="1908"/>
      <c r="H7" s="1911"/>
      <c r="I7" s="1912"/>
      <c r="J7" s="1908"/>
      <c r="K7" s="1909"/>
    </row>
    <row r="8" spans="1:11" ht="11.25" customHeight="1" x14ac:dyDescent="0.25">
      <c r="A8" s="250" t="s">
        <v>1563</v>
      </c>
      <c r="B8" s="293"/>
      <c r="C8" s="1908">
        <v>118688660</v>
      </c>
      <c r="D8" s="1908">
        <v>282404193</v>
      </c>
      <c r="E8" s="1909">
        <v>561104000</v>
      </c>
      <c r="F8" s="1910">
        <v>511957288</v>
      </c>
      <c r="G8" s="1908">
        <v>648304997</v>
      </c>
      <c r="H8" s="1911">
        <v>648304997</v>
      </c>
      <c r="I8" s="1912">
        <v>539091024</v>
      </c>
      <c r="J8" s="1908">
        <v>565506484</v>
      </c>
      <c r="K8" s="1909">
        <v>593706000</v>
      </c>
    </row>
    <row r="9" spans="1:11" ht="11.25" customHeight="1" x14ac:dyDescent="0.25">
      <c r="A9" s="250" t="s">
        <v>1562</v>
      </c>
      <c r="B9" s="293"/>
      <c r="C9" s="1908"/>
      <c r="D9" s="1908"/>
      <c r="E9" s="1909"/>
      <c r="F9" s="1910"/>
      <c r="G9" s="1908"/>
      <c r="H9" s="1911"/>
      <c r="I9" s="1912"/>
      <c r="J9" s="1908"/>
      <c r="K9" s="1909"/>
    </row>
    <row r="10" spans="1:11" ht="11.25" customHeight="1" x14ac:dyDescent="0.25">
      <c r="A10" s="250" t="s">
        <v>1564</v>
      </c>
      <c r="B10" s="293"/>
      <c r="C10" s="1908"/>
      <c r="D10" s="1908"/>
      <c r="E10" s="1909"/>
      <c r="F10" s="1910"/>
      <c r="G10" s="1908"/>
      <c r="H10" s="1911"/>
      <c r="I10" s="1912"/>
      <c r="J10" s="1908"/>
      <c r="K10" s="1909"/>
    </row>
    <row r="11" spans="1:11" ht="11.25" customHeight="1" x14ac:dyDescent="0.25">
      <c r="A11" s="250" t="s">
        <v>1565</v>
      </c>
      <c r="B11" s="293"/>
      <c r="C11" s="1908"/>
      <c r="D11" s="1908"/>
      <c r="E11" s="1909"/>
      <c r="F11" s="1910"/>
      <c r="G11" s="1908"/>
      <c r="H11" s="1911"/>
      <c r="I11" s="1912"/>
      <c r="J11" s="1908"/>
      <c r="K11" s="1909"/>
    </row>
    <row r="12" spans="1:11" ht="11.25" customHeight="1" x14ac:dyDescent="0.25">
      <c r="A12" s="250" t="s">
        <v>1566</v>
      </c>
      <c r="B12" s="293"/>
      <c r="C12" s="1908"/>
      <c r="D12" s="1908"/>
      <c r="E12" s="1909"/>
      <c r="F12" s="1910"/>
      <c r="G12" s="1908"/>
      <c r="H12" s="1911"/>
      <c r="I12" s="1912"/>
      <c r="J12" s="1908"/>
      <c r="K12" s="1909"/>
    </row>
    <row r="13" spans="1:11" ht="11.25" customHeight="1" x14ac:dyDescent="0.25">
      <c r="A13" s="250" t="s">
        <v>1567</v>
      </c>
      <c r="B13" s="293"/>
      <c r="C13" s="1908"/>
      <c r="D13" s="1908"/>
      <c r="E13" s="1909"/>
      <c r="F13" s="1910"/>
      <c r="G13" s="1908"/>
      <c r="H13" s="1911"/>
      <c r="I13" s="1912"/>
      <c r="J13" s="1908"/>
      <c r="K13" s="1909"/>
    </row>
    <row r="14" spans="1:11" ht="11.25" customHeight="1" x14ac:dyDescent="0.25">
      <c r="A14" s="250" t="s">
        <v>1568</v>
      </c>
      <c r="B14" s="293"/>
      <c r="C14" s="1908"/>
      <c r="D14" s="1908"/>
      <c r="E14" s="1909"/>
      <c r="F14" s="1910"/>
      <c r="G14" s="1908"/>
      <c r="H14" s="1911"/>
      <c r="I14" s="1912"/>
      <c r="J14" s="1908"/>
      <c r="K14" s="1909"/>
    </row>
    <row r="15" spans="1:11" ht="11.25" customHeight="1" x14ac:dyDescent="0.25">
      <c r="A15" s="250" t="s">
        <v>1569</v>
      </c>
      <c r="B15" s="293"/>
      <c r="C15" s="1908"/>
      <c r="D15" s="1908"/>
      <c r="E15" s="1909"/>
      <c r="F15" s="1910"/>
      <c r="G15" s="1908"/>
      <c r="H15" s="1911"/>
      <c r="I15" s="1912"/>
      <c r="J15" s="1908"/>
      <c r="K15" s="1909"/>
    </row>
    <row r="16" spans="1:11" ht="5.15" customHeight="1" x14ac:dyDescent="0.25">
      <c r="A16" s="273"/>
      <c r="B16" s="293"/>
      <c r="C16" s="1070"/>
      <c r="D16" s="1070"/>
      <c r="E16" s="1071"/>
      <c r="F16" s="1072"/>
      <c r="G16" s="1070"/>
      <c r="H16" s="1073"/>
      <c r="I16" s="1074"/>
      <c r="J16" s="1070"/>
      <c r="K16" s="1071"/>
    </row>
    <row r="17" spans="1:11" ht="11.25" customHeight="1" x14ac:dyDescent="0.25">
      <c r="A17" s="265" t="s">
        <v>177</v>
      </c>
      <c r="B17" s="293">
        <v>1</v>
      </c>
      <c r="C17" s="717">
        <f t="shared" ref="C17:K17" si="0">SUM(C6:C15)</f>
        <v>118688660</v>
      </c>
      <c r="D17" s="717">
        <f t="shared" si="0"/>
        <v>282404193</v>
      </c>
      <c r="E17" s="718">
        <f t="shared" si="0"/>
        <v>561104000</v>
      </c>
      <c r="F17" s="719">
        <f t="shared" si="0"/>
        <v>511957288</v>
      </c>
      <c r="G17" s="717">
        <f t="shared" si="0"/>
        <v>648304997</v>
      </c>
      <c r="H17" s="720">
        <f t="shared" si="0"/>
        <v>648304997</v>
      </c>
      <c r="I17" s="721">
        <f t="shared" si="0"/>
        <v>539091024</v>
      </c>
      <c r="J17" s="717">
        <f t="shared" si="0"/>
        <v>565506484</v>
      </c>
      <c r="K17" s="718">
        <f t="shared" si="0"/>
        <v>593706000</v>
      </c>
    </row>
    <row r="18" spans="1:11" ht="5.15" customHeight="1" x14ac:dyDescent="0.25">
      <c r="A18" s="273"/>
      <c r="B18" s="293"/>
      <c r="C18" s="715"/>
      <c r="D18" s="715"/>
      <c r="E18" s="711"/>
      <c r="F18" s="712"/>
      <c r="G18" s="715"/>
      <c r="H18" s="713"/>
      <c r="I18" s="716"/>
      <c r="J18" s="715"/>
      <c r="K18" s="711"/>
    </row>
    <row r="19" spans="1:11" ht="11.25" customHeight="1" x14ac:dyDescent="0.25">
      <c r="A19" s="249" t="s">
        <v>678</v>
      </c>
      <c r="B19" s="293"/>
      <c r="C19" s="715"/>
      <c r="D19" s="715"/>
      <c r="E19" s="711"/>
      <c r="F19" s="712"/>
      <c r="G19" s="715"/>
      <c r="H19" s="713"/>
      <c r="I19" s="716"/>
      <c r="J19" s="715"/>
      <c r="K19" s="711"/>
    </row>
    <row r="20" spans="1:11" ht="11.25" customHeight="1" x14ac:dyDescent="0.25">
      <c r="A20" s="250" t="str">
        <f>A6</f>
        <v>Securities - National Government</v>
      </c>
      <c r="B20" s="293"/>
      <c r="C20" s="1908"/>
      <c r="D20" s="1908"/>
      <c r="E20" s="1909"/>
      <c r="F20" s="1910"/>
      <c r="G20" s="1908"/>
      <c r="H20" s="1911"/>
      <c r="I20" s="1912"/>
      <c r="J20" s="1908"/>
      <c r="K20" s="1909"/>
    </row>
    <row r="21" spans="1:11" ht="11.25" customHeight="1" x14ac:dyDescent="0.25">
      <c r="A21" s="250" t="str">
        <f t="shared" ref="A21:A28" si="1">A7</f>
        <v>Listed Corporate Bonds</v>
      </c>
      <c r="B21" s="293"/>
      <c r="C21" s="1908"/>
      <c r="D21" s="1908"/>
      <c r="E21" s="1909"/>
      <c r="F21" s="1910"/>
      <c r="G21" s="1908"/>
      <c r="H21" s="1911"/>
      <c r="I21" s="1912"/>
      <c r="J21" s="1908"/>
      <c r="K21" s="1909"/>
    </row>
    <row r="22" spans="1:11" ht="11.25" customHeight="1" x14ac:dyDescent="0.25">
      <c r="A22" s="250" t="str">
        <f t="shared" si="1"/>
        <v>Deposits - Bank</v>
      </c>
      <c r="B22" s="293"/>
      <c r="C22" s="1908"/>
      <c r="D22" s="1908"/>
      <c r="E22" s="1909"/>
      <c r="F22" s="1910"/>
      <c r="G22" s="1908"/>
      <c r="H22" s="1911"/>
      <c r="I22" s="1912"/>
      <c r="J22" s="1908"/>
      <c r="K22" s="1909"/>
    </row>
    <row r="23" spans="1:11" ht="11.25" customHeight="1" x14ac:dyDescent="0.25">
      <c r="A23" s="250" t="str">
        <f t="shared" si="1"/>
        <v>Deposits - Public Investment Commissioners</v>
      </c>
      <c r="B23" s="293"/>
      <c r="C23" s="1908"/>
      <c r="D23" s="1908"/>
      <c r="E23" s="1909"/>
      <c r="F23" s="1910"/>
      <c r="G23" s="1908"/>
      <c r="H23" s="1911"/>
      <c r="I23" s="1912"/>
      <c r="J23" s="1908"/>
      <c r="K23" s="1909"/>
    </row>
    <row r="24" spans="1:11" ht="11.25" customHeight="1" x14ac:dyDescent="0.25">
      <c r="A24" s="250" t="str">
        <f t="shared" si="1"/>
        <v>Deposits - Corporation for Public Deposits</v>
      </c>
      <c r="B24" s="293"/>
      <c r="C24" s="1908"/>
      <c r="D24" s="1908"/>
      <c r="E24" s="1909"/>
      <c r="F24" s="1910"/>
      <c r="G24" s="1908"/>
      <c r="H24" s="1911"/>
      <c r="I24" s="1912"/>
      <c r="J24" s="1908"/>
      <c r="K24" s="1909"/>
    </row>
    <row r="25" spans="1:11" ht="11.25" customHeight="1" x14ac:dyDescent="0.25">
      <c r="A25" s="250" t="str">
        <f t="shared" si="1"/>
        <v>Bankers Acceptance Certificates</v>
      </c>
      <c r="B25" s="293"/>
      <c r="C25" s="1908"/>
      <c r="D25" s="1908"/>
      <c r="E25" s="1909"/>
      <c r="F25" s="1910"/>
      <c r="G25" s="1908"/>
      <c r="H25" s="1911"/>
      <c r="I25" s="1912"/>
      <c r="J25" s="1908"/>
      <c r="K25" s="1909"/>
    </row>
    <row r="26" spans="1:11" ht="11.25" customHeight="1" x14ac:dyDescent="0.25">
      <c r="A26" s="250" t="str">
        <f t="shared" si="1"/>
        <v>Negotiable Certificates of Deposit - Banks</v>
      </c>
      <c r="B26" s="293"/>
      <c r="C26" s="1908"/>
      <c r="D26" s="1908"/>
      <c r="E26" s="1909"/>
      <c r="F26" s="1910"/>
      <c r="G26" s="1908"/>
      <c r="H26" s="1911"/>
      <c r="I26" s="1912"/>
      <c r="J26" s="1908"/>
      <c r="K26" s="1909"/>
    </row>
    <row r="27" spans="1:11" ht="11.25" customHeight="1" x14ac:dyDescent="0.25">
      <c r="A27" s="250" t="str">
        <f t="shared" si="1"/>
        <v>Guaranteed Endowment Policies (sinking)</v>
      </c>
      <c r="B27" s="293"/>
      <c r="C27" s="1908"/>
      <c r="D27" s="1908"/>
      <c r="E27" s="1909"/>
      <c r="F27" s="1910"/>
      <c r="G27" s="1908"/>
      <c r="H27" s="1911"/>
      <c r="I27" s="1912"/>
      <c r="J27" s="1908"/>
      <c r="K27" s="1909"/>
    </row>
    <row r="28" spans="1:11" ht="11.25" customHeight="1" x14ac:dyDescent="0.25">
      <c r="A28" s="250" t="str">
        <f t="shared" si="1"/>
        <v>Repurchase Agreements - Banks</v>
      </c>
      <c r="B28" s="293"/>
      <c r="C28" s="1908"/>
      <c r="D28" s="1908"/>
      <c r="E28" s="1909"/>
      <c r="F28" s="1910"/>
      <c r="G28" s="1908"/>
      <c r="H28" s="1911"/>
      <c r="I28" s="1912"/>
      <c r="J28" s="1908"/>
      <c r="K28" s="1909"/>
    </row>
    <row r="29" spans="1:11" ht="5.15" customHeight="1" x14ac:dyDescent="0.25">
      <c r="A29" s="273"/>
      <c r="B29" s="293"/>
      <c r="C29" s="715"/>
      <c r="D29" s="715"/>
      <c r="E29" s="711"/>
      <c r="F29" s="712"/>
      <c r="G29" s="715"/>
      <c r="H29" s="713"/>
      <c r="I29" s="716"/>
      <c r="J29" s="715"/>
      <c r="K29" s="711"/>
    </row>
    <row r="30" spans="1:11" ht="11.25" customHeight="1" x14ac:dyDescent="0.25">
      <c r="A30" s="265" t="s">
        <v>176</v>
      </c>
      <c r="B30" s="293"/>
      <c r="C30" s="717">
        <f t="shared" ref="C30:K30" si="2">SUM(C20:C29)</f>
        <v>0</v>
      </c>
      <c r="D30" s="722">
        <f t="shared" si="2"/>
        <v>0</v>
      </c>
      <c r="E30" s="723">
        <f t="shared" si="2"/>
        <v>0</v>
      </c>
      <c r="F30" s="724">
        <f t="shared" si="2"/>
        <v>0</v>
      </c>
      <c r="G30" s="722">
        <f t="shared" si="2"/>
        <v>0</v>
      </c>
      <c r="H30" s="725">
        <f t="shared" si="2"/>
        <v>0</v>
      </c>
      <c r="I30" s="726">
        <f t="shared" si="2"/>
        <v>0</v>
      </c>
      <c r="J30" s="722">
        <f t="shared" si="2"/>
        <v>0</v>
      </c>
      <c r="K30" s="723">
        <f t="shared" si="2"/>
        <v>0</v>
      </c>
    </row>
    <row r="31" spans="1:11" ht="5.15" customHeight="1" x14ac:dyDescent="0.25">
      <c r="A31" s="273"/>
      <c r="B31" s="293"/>
      <c r="C31" s="715"/>
      <c r="D31" s="715"/>
      <c r="E31" s="711"/>
      <c r="F31" s="712"/>
      <c r="G31" s="715"/>
      <c r="H31" s="713"/>
      <c r="I31" s="716"/>
      <c r="J31" s="715"/>
      <c r="K31" s="711"/>
    </row>
    <row r="32" spans="1:11" x14ac:dyDescent="0.25">
      <c r="A32" s="281" t="s">
        <v>175</v>
      </c>
      <c r="B32" s="727"/>
      <c r="C32" s="728">
        <f t="shared" ref="C32:K32" si="3">C17+C30</f>
        <v>118688660</v>
      </c>
      <c r="D32" s="728">
        <f t="shared" si="3"/>
        <v>282404193</v>
      </c>
      <c r="E32" s="729">
        <f t="shared" si="3"/>
        <v>561104000</v>
      </c>
      <c r="F32" s="730">
        <f t="shared" si="3"/>
        <v>511957288</v>
      </c>
      <c r="G32" s="728">
        <f t="shared" si="3"/>
        <v>648304997</v>
      </c>
      <c r="H32" s="731">
        <f t="shared" si="3"/>
        <v>648304997</v>
      </c>
      <c r="I32" s="732">
        <f t="shared" si="3"/>
        <v>539091024</v>
      </c>
      <c r="J32" s="728">
        <f t="shared" si="3"/>
        <v>565506484</v>
      </c>
      <c r="K32" s="729">
        <f t="shared" si="3"/>
        <v>593706000</v>
      </c>
    </row>
    <row r="33" spans="1:15" ht="6" customHeight="1" x14ac:dyDescent="0.25">
      <c r="A33" s="653"/>
      <c r="B33" s="236"/>
      <c r="C33" s="309"/>
      <c r="D33" s="309"/>
      <c r="E33" s="309"/>
      <c r="F33" s="309"/>
      <c r="G33" s="309"/>
      <c r="H33" s="309"/>
      <c r="I33" s="309"/>
      <c r="J33" s="309"/>
      <c r="K33" s="309"/>
      <c r="L33" s="246"/>
      <c r="M33" s="246"/>
      <c r="N33" s="246"/>
    </row>
    <row r="34" spans="1:15" s="709" customFormat="1" ht="10.5" customHeight="1" x14ac:dyDescent="0.25">
      <c r="A34" s="1261" t="str">
        <f>head27a</f>
        <v>References</v>
      </c>
      <c r="B34" s="1038"/>
      <c r="C34" s="1079"/>
      <c r="D34" s="1079"/>
      <c r="E34" s="1079"/>
      <c r="F34" s="1079"/>
      <c r="G34" s="1079"/>
      <c r="H34" s="1079"/>
      <c r="I34" s="1079"/>
      <c r="J34" s="1079"/>
      <c r="K34" s="1079"/>
      <c r="L34" s="1061"/>
      <c r="M34" s="1061"/>
      <c r="N34" s="1061"/>
    </row>
    <row r="35" spans="1:15" s="709" customFormat="1" ht="10.5" customHeight="1" x14ac:dyDescent="0.25">
      <c r="A35" s="1262" t="s">
        <v>1275</v>
      </c>
      <c r="B35" s="1038"/>
      <c r="C35" s="1042"/>
      <c r="D35" s="1041"/>
      <c r="E35" s="1042"/>
      <c r="F35" s="1042"/>
      <c r="G35" s="1042"/>
      <c r="H35" s="1042"/>
      <c r="I35" s="1042"/>
      <c r="J35" s="1042"/>
      <c r="K35" s="1042"/>
    </row>
    <row r="36" spans="1:15" ht="10.5" customHeight="1" x14ac:dyDescent="0.25">
      <c r="A36" s="288" t="s">
        <v>548</v>
      </c>
      <c r="B36" s="236"/>
      <c r="C36" s="344">
        <f>C17-'A6-FinPos'!C7-'A6-FinPos'!C16</f>
        <v>0</v>
      </c>
      <c r="D36" s="344">
        <f>D17-'A6-FinPos'!D7-'A6-FinPos'!D16</f>
        <v>0</v>
      </c>
      <c r="E36" s="447">
        <f>E17-'A6-FinPos'!E7-'A6-FinPos'!E16</f>
        <v>0</v>
      </c>
      <c r="F36" s="603">
        <f>F17-'A6-FinPos'!F7-'A6-FinPos'!F16</f>
        <v>0</v>
      </c>
      <c r="G36" s="447">
        <f>G17-'A6-FinPos'!G7-'A6-FinPos'!G16</f>
        <v>0</v>
      </c>
      <c r="H36" s="447">
        <f>H17-'A6-FinPos'!H7-'A6-FinPos'!H16</f>
        <v>0</v>
      </c>
      <c r="I36" s="447">
        <f>I17-'A6-FinPos'!J7-'A6-FinPos'!J16</f>
        <v>-0.26399999522254802</v>
      </c>
      <c r="J36" s="447">
        <f>J17-'A6-FinPos'!K7-'A6-FinPos'!K16</f>
        <v>-0.45293591213703621</v>
      </c>
      <c r="K36" s="447">
        <f>K17-'A6-FinPos'!L7-'A6-FinPos'!L16</f>
        <v>0</v>
      </c>
    </row>
    <row r="37" spans="1:15" ht="11.25" customHeight="1" x14ac:dyDescent="0.25">
      <c r="O37" s="370"/>
    </row>
    <row r="38" spans="1:15" ht="11.25" customHeight="1" x14ac:dyDescent="0.25"/>
    <row r="39" spans="1:15" ht="11.25" customHeight="1" x14ac:dyDescent="0.25"/>
    <row r="40" spans="1:15" ht="11.25" customHeight="1" x14ac:dyDescent="0.25"/>
    <row r="41" spans="1:15" ht="11.25" customHeight="1" x14ac:dyDescent="0.25"/>
    <row r="42" spans="1:15" ht="11.25" customHeight="1" x14ac:dyDescent="0.25"/>
    <row r="43" spans="1:15" ht="11.25" customHeight="1" x14ac:dyDescent="0.25"/>
    <row r="44" spans="1:15" ht="11.25" customHeight="1" x14ac:dyDescent="0.25"/>
    <row r="45" spans="1:15" ht="11.25" customHeight="1" x14ac:dyDescent="0.25"/>
    <row r="46" spans="1:15" ht="11.25" customHeight="1" x14ac:dyDescent="0.25"/>
    <row r="47" spans="1:15" ht="11.25" customHeight="1" x14ac:dyDescent="0.25"/>
    <row r="48" spans="1:15"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sheetData>
  <sheetProtection sheet="1" objects="1" scenarios="1"/>
  <mergeCells count="4">
    <mergeCell ref="F2:H2"/>
    <mergeCell ref="I2:K2"/>
    <mergeCell ref="B2:B4"/>
    <mergeCell ref="A2:A3"/>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enableFormatConditionsCalculation="0">
    <tabColor indexed="42"/>
    <pageSetUpPr fitToPage="1"/>
  </sheetPr>
  <dimension ref="A1:T69"/>
  <sheetViews>
    <sheetView showGridLines="0" zoomScaleNormal="100" workbookViewId="0">
      <pane xSplit="2" ySplit="3" topLeftCell="G19" activePane="bottomRight" state="frozen"/>
      <selection pane="topRight"/>
      <selection pane="bottomLeft"/>
      <selection pane="bottomRight" activeCell="K11" sqref="K11"/>
    </sheetView>
  </sheetViews>
  <sheetFormatPr defaultColWidth="9.1796875" defaultRowHeight="10.5" x14ac:dyDescent="0.25"/>
  <cols>
    <col min="1" max="1" width="30.7265625" style="149" customWidth="1"/>
    <col min="2" max="2" width="3" style="2463" customWidth="1"/>
    <col min="3" max="12" width="13.7265625" style="149" customWidth="1"/>
    <col min="13" max="13" width="9.81640625" style="149" customWidth="1"/>
    <col min="14" max="14" width="9.81640625" style="149" bestFit="1" customWidth="1"/>
    <col min="15" max="16" width="9.81640625" style="149" customWidth="1"/>
    <col min="17" max="17" width="9.54296875" style="149" customWidth="1"/>
    <col min="18" max="18" width="9.81640625" style="149" customWidth="1"/>
    <col min="19" max="21" width="9.54296875" style="149" customWidth="1"/>
    <col min="22" max="22" width="9.81640625" style="149" customWidth="1"/>
    <col min="23" max="25" width="9.54296875" style="149" customWidth="1"/>
    <col min="26" max="27" width="9.81640625" style="149" customWidth="1"/>
    <col min="28" max="16384" width="9.1796875" style="149"/>
  </cols>
  <sheetData>
    <row r="1" spans="1:12" ht="13" x14ac:dyDescent="0.3">
      <c r="A1" s="147" t="str">
        <f>muni&amp;" - "&amp;TableA16</f>
        <v>KZN225 Msunduzi - Supporting Table SA16 Investment particulars by maturity</v>
      </c>
      <c r="B1" s="147"/>
      <c r="C1" s="147"/>
      <c r="D1" s="147"/>
      <c r="E1" s="147"/>
      <c r="F1" s="147"/>
      <c r="G1" s="147"/>
      <c r="H1" s="147"/>
      <c r="I1" s="147"/>
      <c r="J1" s="147"/>
      <c r="K1" s="147"/>
      <c r="L1" s="147"/>
    </row>
    <row r="2" spans="1:12" ht="33.75" customHeight="1" x14ac:dyDescent="0.25">
      <c r="A2" s="142" t="s">
        <v>549</v>
      </c>
      <c r="B2" s="733" t="str">
        <f>head27</f>
        <v>Ref</v>
      </c>
      <c r="C2" s="150" t="s">
        <v>551</v>
      </c>
      <c r="D2" s="2723" t="s">
        <v>552</v>
      </c>
      <c r="E2" s="2320" t="s">
        <v>2058</v>
      </c>
      <c r="F2" s="2320" t="s">
        <v>2057</v>
      </c>
      <c r="G2" s="2320" t="s">
        <v>2063</v>
      </c>
      <c r="H2" s="2320" t="s">
        <v>2217</v>
      </c>
      <c r="I2" s="2320" t="s">
        <v>2059</v>
      </c>
      <c r="J2" s="2710" t="s">
        <v>553</v>
      </c>
      <c r="K2" s="144" t="s">
        <v>554</v>
      </c>
      <c r="L2" s="734" t="s">
        <v>555</v>
      </c>
    </row>
    <row r="3" spans="1:12" x14ac:dyDescent="0.25">
      <c r="A3" s="141" t="s">
        <v>550</v>
      </c>
      <c r="B3" s="735">
        <v>1</v>
      </c>
      <c r="C3" s="138" t="s">
        <v>1570</v>
      </c>
      <c r="D3" s="2724"/>
      <c r="E3" s="987"/>
      <c r="F3" s="987"/>
      <c r="G3" s="987"/>
      <c r="H3" s="987"/>
      <c r="I3" s="987"/>
      <c r="J3" s="2711"/>
      <c r="K3" s="736" t="s">
        <v>1289</v>
      </c>
      <c r="L3" s="737"/>
    </row>
    <row r="4" spans="1:12" x14ac:dyDescent="0.25">
      <c r="A4" s="249" t="s">
        <v>178</v>
      </c>
      <c r="B4" s="2459"/>
      <c r="C4" s="182"/>
      <c r="D4" s="738"/>
      <c r="E4" s="738"/>
      <c r="F4" s="738"/>
      <c r="G4" s="738"/>
      <c r="H4" s="738"/>
      <c r="I4" s="738"/>
      <c r="J4" s="739"/>
      <c r="K4" s="740"/>
      <c r="L4" s="741"/>
    </row>
    <row r="5" spans="1:12" ht="11.25" customHeight="1" x14ac:dyDescent="0.25">
      <c r="A5" s="1913" t="s">
        <v>2378</v>
      </c>
      <c r="B5" s="2460"/>
      <c r="C5" s="1826"/>
      <c r="D5" s="1914" t="s">
        <v>2389</v>
      </c>
      <c r="E5" s="1914"/>
      <c r="F5" s="1914"/>
      <c r="G5" s="2614">
        <v>5.0500000000000003E-2</v>
      </c>
      <c r="H5" s="1914"/>
      <c r="I5" s="1914"/>
      <c r="J5" s="1915"/>
      <c r="K5" s="1910">
        <v>1384295.82</v>
      </c>
      <c r="L5" s="1916">
        <f>G5*K5</f>
        <v>69906.938910000012</v>
      </c>
    </row>
    <row r="6" spans="1:12" ht="11.25" customHeight="1" x14ac:dyDescent="0.25">
      <c r="A6" s="1913" t="s">
        <v>2379</v>
      </c>
      <c r="B6" s="2460"/>
      <c r="C6" s="1826"/>
      <c r="D6" s="1914" t="s">
        <v>2389</v>
      </c>
      <c r="E6" s="1914"/>
      <c r="F6" s="1914"/>
      <c r="G6" s="2613">
        <v>0.05</v>
      </c>
      <c r="H6" s="1914"/>
      <c r="I6" s="1914"/>
      <c r="J6" s="1915"/>
      <c r="K6" s="1910">
        <v>1971006.82</v>
      </c>
      <c r="L6" s="1916">
        <f>G6*K6</f>
        <v>98550.341000000015</v>
      </c>
    </row>
    <row r="7" spans="1:12" ht="11.25" customHeight="1" x14ac:dyDescent="0.25">
      <c r="A7" s="1913" t="s">
        <v>2380</v>
      </c>
      <c r="B7" s="2460"/>
      <c r="C7" s="1826"/>
      <c r="D7" s="1914" t="s">
        <v>2389</v>
      </c>
      <c r="E7" s="1914"/>
      <c r="F7" s="1914"/>
      <c r="G7" s="2613">
        <v>0.05</v>
      </c>
      <c r="H7" s="1914"/>
      <c r="I7" s="1914"/>
      <c r="J7" s="1915"/>
      <c r="K7" s="1910">
        <v>1141653.3500000001</v>
      </c>
      <c r="L7" s="1916">
        <f>G7*K7</f>
        <v>57082.66750000001</v>
      </c>
    </row>
    <row r="8" spans="1:12" ht="11.25" customHeight="1" x14ac:dyDescent="0.25">
      <c r="A8" s="1913" t="s">
        <v>2381</v>
      </c>
      <c r="B8" s="2460"/>
      <c r="C8" s="1826"/>
      <c r="D8" s="1914" t="s">
        <v>2389</v>
      </c>
      <c r="E8" s="1914"/>
      <c r="F8" s="1914"/>
      <c r="G8" s="2613">
        <v>0.05</v>
      </c>
      <c r="H8" s="1914"/>
      <c r="I8" s="1914"/>
      <c r="J8" s="1915"/>
      <c r="K8" s="1910">
        <v>50728946.359999999</v>
      </c>
      <c r="L8" s="1916">
        <f>G8*K8</f>
        <v>2536447.318</v>
      </c>
    </row>
    <row r="9" spans="1:12" ht="11.25" customHeight="1" x14ac:dyDescent="0.25">
      <c r="A9" s="1913" t="s">
        <v>2382</v>
      </c>
      <c r="B9" s="2460"/>
      <c r="C9" s="1826"/>
      <c r="D9" s="1914" t="s">
        <v>2389</v>
      </c>
      <c r="E9" s="1914"/>
      <c r="F9" s="1914"/>
      <c r="G9" s="2613">
        <v>0.05</v>
      </c>
      <c r="H9" s="1914"/>
      <c r="I9" s="1914"/>
      <c r="J9" s="1915"/>
      <c r="K9" s="1910">
        <v>126067800.29000001</v>
      </c>
      <c r="L9" s="1916">
        <f t="shared" ref="L9:L15" si="0">G9*K9</f>
        <v>6303390.0145000005</v>
      </c>
    </row>
    <row r="10" spans="1:12" ht="11.25" customHeight="1" x14ac:dyDescent="0.25">
      <c r="A10" s="1913" t="s">
        <v>2383</v>
      </c>
      <c r="B10" s="2460"/>
      <c r="C10" s="1826"/>
      <c r="D10" s="1914" t="s">
        <v>2389</v>
      </c>
      <c r="E10" s="1914"/>
      <c r="F10" s="1914"/>
      <c r="G10" s="2613">
        <v>0.05</v>
      </c>
      <c r="H10" s="1914"/>
      <c r="I10" s="1914"/>
      <c r="J10" s="1915"/>
      <c r="K10" s="1910">
        <f>360040461.93-21453396</f>
        <v>338587065.93000001</v>
      </c>
      <c r="L10" s="1916">
        <f>G10*K10</f>
        <v>16929353.296500001</v>
      </c>
    </row>
    <row r="11" spans="1:12" ht="11.25" customHeight="1" x14ac:dyDescent="0.25">
      <c r="A11" s="1913" t="s">
        <v>2384</v>
      </c>
      <c r="B11" s="2460"/>
      <c r="C11" s="1826"/>
      <c r="D11" s="1914" t="s">
        <v>2389</v>
      </c>
      <c r="E11" s="1914"/>
      <c r="F11" s="1914"/>
      <c r="G11" s="2613">
        <v>0.05</v>
      </c>
      <c r="H11" s="1914"/>
      <c r="I11" s="1914"/>
      <c r="J11" s="1915"/>
      <c r="K11" s="1910">
        <v>1748763.25</v>
      </c>
      <c r="L11" s="1916">
        <f>G11*K11</f>
        <v>87438.162500000006</v>
      </c>
    </row>
    <row r="12" spans="1:12" ht="11.25" customHeight="1" x14ac:dyDescent="0.25">
      <c r="A12" s="1913" t="s">
        <v>2385</v>
      </c>
      <c r="B12" s="2460"/>
      <c r="C12" s="1826"/>
      <c r="D12" s="1914" t="s">
        <v>2389</v>
      </c>
      <c r="E12" s="1914"/>
      <c r="F12" s="1914"/>
      <c r="G12" s="2613">
        <v>0.05</v>
      </c>
      <c r="H12" s="1914"/>
      <c r="I12" s="1914"/>
      <c r="J12" s="1915"/>
      <c r="K12" s="1910">
        <v>1399803.48</v>
      </c>
      <c r="L12" s="1916">
        <f t="shared" si="0"/>
        <v>69990.173999999999</v>
      </c>
    </row>
    <row r="13" spans="1:12" ht="11.25" customHeight="1" x14ac:dyDescent="0.25">
      <c r="A13" s="1913" t="s">
        <v>2386</v>
      </c>
      <c r="B13" s="2460"/>
      <c r="C13" s="1826"/>
      <c r="D13" s="1914" t="s">
        <v>2389</v>
      </c>
      <c r="E13" s="1914"/>
      <c r="F13" s="1914"/>
      <c r="G13" s="2613">
        <v>0.05</v>
      </c>
      <c r="H13" s="1914"/>
      <c r="I13" s="1914"/>
      <c r="J13" s="1915"/>
      <c r="K13" s="1910">
        <v>9120000</v>
      </c>
      <c r="L13" s="1916">
        <f t="shared" si="0"/>
        <v>456000</v>
      </c>
    </row>
    <row r="14" spans="1:12" ht="11.25" customHeight="1" x14ac:dyDescent="0.25">
      <c r="A14" s="1913" t="s">
        <v>2387</v>
      </c>
      <c r="B14" s="2460"/>
      <c r="C14" s="1826"/>
      <c r="D14" s="1914" t="s">
        <v>2389</v>
      </c>
      <c r="E14" s="1914"/>
      <c r="F14" s="1914"/>
      <c r="G14" s="2613">
        <v>0.05</v>
      </c>
      <c r="H14" s="1914"/>
      <c r="I14" s="1914"/>
      <c r="J14" s="1915"/>
      <c r="K14" s="1910">
        <v>1685757.17</v>
      </c>
      <c r="L14" s="1916">
        <f t="shared" si="0"/>
        <v>84287.858500000002</v>
      </c>
    </row>
    <row r="15" spans="1:12" ht="11.25" customHeight="1" x14ac:dyDescent="0.25">
      <c r="A15" s="1913" t="s">
        <v>2388</v>
      </c>
      <c r="B15" s="2460"/>
      <c r="C15" s="1826"/>
      <c r="D15" s="1914" t="s">
        <v>2064</v>
      </c>
      <c r="E15" s="1914"/>
      <c r="F15" s="1914"/>
      <c r="G15" s="2614">
        <v>6.4000000000000001E-2</v>
      </c>
      <c r="H15" s="1914"/>
      <c r="I15" s="1914"/>
      <c r="J15" s="1915"/>
      <c r="K15" s="1910">
        <v>5255932</v>
      </c>
      <c r="L15" s="1916">
        <f t="shared" si="0"/>
        <v>336379.64799999999</v>
      </c>
    </row>
    <row r="16" spans="1:12" ht="11.25" customHeight="1" x14ac:dyDescent="0.25">
      <c r="A16" s="1913"/>
      <c r="B16" s="2460"/>
      <c r="C16" s="1826"/>
      <c r="D16" s="1914"/>
      <c r="E16" s="1914"/>
      <c r="F16" s="1914"/>
      <c r="G16" s="1914"/>
      <c r="H16" s="1914"/>
      <c r="I16" s="1914"/>
      <c r="J16" s="1915"/>
      <c r="K16" s="1910"/>
      <c r="L16" s="1916"/>
    </row>
    <row r="17" spans="1:18" ht="11.25" customHeight="1" x14ac:dyDescent="0.25">
      <c r="A17" s="1913"/>
      <c r="B17" s="2460"/>
      <c r="C17" s="1826"/>
      <c r="D17" s="1914"/>
      <c r="E17" s="1914"/>
      <c r="F17" s="1914"/>
      <c r="G17" s="1914"/>
      <c r="H17" s="1914"/>
      <c r="I17" s="1914"/>
      <c r="J17" s="1915"/>
      <c r="K17" s="1910"/>
      <c r="L17" s="1916"/>
    </row>
    <row r="18" spans="1:18" ht="11.25" customHeight="1" x14ac:dyDescent="0.25">
      <c r="A18" s="265" t="s">
        <v>177</v>
      </c>
      <c r="B18" s="2459"/>
      <c r="C18" s="1356"/>
      <c r="D18" s="1357"/>
      <c r="E18" s="1357"/>
      <c r="F18" s="1357"/>
      <c r="G18" s="1357"/>
      <c r="H18" s="1357"/>
      <c r="I18" s="1357"/>
      <c r="J18" s="1358"/>
      <c r="K18" s="720">
        <f>SUM(K5:K17)</f>
        <v>539091024.47000003</v>
      </c>
      <c r="L18" s="744">
        <f>SUM(L5:L17)</f>
        <v>27028826.419410001</v>
      </c>
    </row>
    <row r="19" spans="1:18" ht="11.25" customHeight="1" x14ac:dyDescent="0.25">
      <c r="A19" s="273"/>
      <c r="B19" s="2459"/>
      <c r="C19" s="182"/>
      <c r="D19" s="738"/>
      <c r="E19" s="738"/>
      <c r="F19" s="738"/>
      <c r="G19" s="738"/>
      <c r="H19" s="738"/>
      <c r="I19" s="738"/>
      <c r="J19" s="742"/>
      <c r="K19" s="712"/>
      <c r="L19" s="743"/>
    </row>
    <row r="20" spans="1:18" ht="11.25" customHeight="1" x14ac:dyDescent="0.25">
      <c r="A20" s="249" t="s">
        <v>678</v>
      </c>
      <c r="B20" s="2459"/>
      <c r="C20" s="182"/>
      <c r="D20" s="738"/>
      <c r="E20" s="738"/>
      <c r="F20" s="738"/>
      <c r="G20" s="738"/>
      <c r="H20" s="738"/>
      <c r="I20" s="738"/>
      <c r="J20" s="742"/>
      <c r="K20" s="712"/>
      <c r="L20" s="743"/>
    </row>
    <row r="21" spans="1:18" ht="11.25" customHeight="1" x14ac:dyDescent="0.25">
      <c r="A21" s="1913"/>
      <c r="B21" s="2460"/>
      <c r="C21" s="1826"/>
      <c r="D21" s="1914"/>
      <c r="E21" s="1914"/>
      <c r="F21" s="1914"/>
      <c r="G21" s="1914"/>
      <c r="H21" s="1914"/>
      <c r="I21" s="1914"/>
      <c r="J21" s="1915"/>
      <c r="K21" s="1910"/>
      <c r="L21" s="1916"/>
    </row>
    <row r="22" spans="1:18" ht="11.25" customHeight="1" x14ac:dyDescent="0.25">
      <c r="A22" s="1913"/>
      <c r="B22" s="2460"/>
      <c r="C22" s="1826"/>
      <c r="D22" s="1914"/>
      <c r="E22" s="1914"/>
      <c r="F22" s="1914"/>
      <c r="G22" s="1914"/>
      <c r="H22" s="1914"/>
      <c r="I22" s="1914"/>
      <c r="J22" s="1915"/>
      <c r="K22" s="1910"/>
      <c r="L22" s="1916"/>
    </row>
    <row r="23" spans="1:18" ht="11.25" customHeight="1" x14ac:dyDescent="0.25">
      <c r="A23" s="1913"/>
      <c r="B23" s="2460"/>
      <c r="C23" s="1826"/>
      <c r="D23" s="1914"/>
      <c r="E23" s="1914"/>
      <c r="F23" s="1914"/>
      <c r="G23" s="1914"/>
      <c r="H23" s="1914"/>
      <c r="I23" s="1914"/>
      <c r="J23" s="1915"/>
      <c r="K23" s="1910"/>
      <c r="L23" s="1916"/>
    </row>
    <row r="24" spans="1:18" ht="11.25" customHeight="1" x14ac:dyDescent="0.25">
      <c r="A24" s="1913"/>
      <c r="B24" s="2460"/>
      <c r="C24" s="1826"/>
      <c r="D24" s="1914"/>
      <c r="E24" s="1914"/>
      <c r="F24" s="1914"/>
      <c r="G24" s="1914"/>
      <c r="H24" s="1914"/>
      <c r="I24" s="1914"/>
      <c r="J24" s="1915"/>
      <c r="K24" s="1910"/>
      <c r="L24" s="1916"/>
    </row>
    <row r="25" spans="1:18" ht="11.25" customHeight="1" x14ac:dyDescent="0.25">
      <c r="A25" s="1913"/>
      <c r="B25" s="2460"/>
      <c r="C25" s="1826"/>
      <c r="D25" s="1914"/>
      <c r="E25" s="1914"/>
      <c r="F25" s="1914"/>
      <c r="G25" s="1914"/>
      <c r="H25" s="1914"/>
      <c r="I25" s="1914"/>
      <c r="J25" s="1915"/>
      <c r="K25" s="1910"/>
      <c r="L25" s="1916"/>
    </row>
    <row r="26" spans="1:18" ht="11.25" customHeight="1" x14ac:dyDescent="0.25">
      <c r="A26" s="1913"/>
      <c r="B26" s="2460"/>
      <c r="C26" s="1826"/>
      <c r="D26" s="1914"/>
      <c r="E26" s="1914"/>
      <c r="F26" s="1914"/>
      <c r="G26" s="1914"/>
      <c r="H26" s="1914"/>
      <c r="I26" s="1914"/>
      <c r="J26" s="1915"/>
      <c r="K26" s="1910"/>
      <c r="L26" s="1916"/>
    </row>
    <row r="27" spans="1:18" ht="11.25" customHeight="1" x14ac:dyDescent="0.25">
      <c r="A27" s="1913"/>
      <c r="B27" s="2460"/>
      <c r="C27" s="1826"/>
      <c r="D27" s="1914"/>
      <c r="E27" s="1914"/>
      <c r="F27" s="1914"/>
      <c r="G27" s="1914"/>
      <c r="H27" s="1914"/>
      <c r="I27" s="1914"/>
      <c r="J27" s="1915"/>
      <c r="K27" s="1910"/>
      <c r="L27" s="1916"/>
    </row>
    <row r="28" spans="1:18" ht="11.25" customHeight="1" x14ac:dyDescent="0.25">
      <c r="A28" s="265" t="s">
        <v>176</v>
      </c>
      <c r="B28" s="2459"/>
      <c r="C28" s="1356"/>
      <c r="D28" s="1357"/>
      <c r="E28" s="1357"/>
      <c r="F28" s="1357"/>
      <c r="G28" s="1357"/>
      <c r="H28" s="1357"/>
      <c r="I28" s="1357"/>
      <c r="J28" s="1358"/>
      <c r="K28" s="719">
        <f>SUM(K19:K27)</f>
        <v>0</v>
      </c>
      <c r="L28" s="744">
        <f>SUM(L19:L27)</f>
        <v>0</v>
      </c>
    </row>
    <row r="29" spans="1:18" ht="5.15" customHeight="1" x14ac:dyDescent="0.25">
      <c r="A29" s="273"/>
      <c r="B29" s="2459"/>
      <c r="C29" s="182"/>
      <c r="D29" s="738"/>
      <c r="E29" s="738"/>
      <c r="F29" s="738"/>
      <c r="G29" s="738"/>
      <c r="H29" s="738"/>
      <c r="I29" s="738"/>
      <c r="J29" s="742"/>
      <c r="K29" s="712"/>
      <c r="L29" s="743"/>
    </row>
    <row r="30" spans="1:18" x14ac:dyDescent="0.25">
      <c r="A30" s="397" t="s">
        <v>563</v>
      </c>
      <c r="B30" s="2461">
        <v>1</v>
      </c>
      <c r="C30" s="382"/>
      <c r="D30" s="745"/>
      <c r="E30" s="745"/>
      <c r="F30" s="745"/>
      <c r="G30" s="745"/>
      <c r="H30" s="745"/>
      <c r="I30" s="745"/>
      <c r="J30" s="746"/>
      <c r="K30" s="730">
        <f>K18+K28</f>
        <v>539091024.47000003</v>
      </c>
      <c r="L30" s="747">
        <f>L18+L28</f>
        <v>27028826.419410001</v>
      </c>
    </row>
    <row r="31" spans="1:18" ht="6" customHeight="1" x14ac:dyDescent="0.25">
      <c r="A31" s="246"/>
      <c r="B31" s="430"/>
      <c r="C31" s="1079"/>
      <c r="D31" s="1355"/>
      <c r="E31" s="309"/>
      <c r="F31" s="309"/>
      <c r="G31" s="309"/>
      <c r="H31" s="309"/>
      <c r="I31" s="309"/>
      <c r="J31" s="309"/>
      <c r="K31" s="309"/>
      <c r="L31" s="309"/>
      <c r="P31" s="246"/>
      <c r="Q31" s="246"/>
      <c r="R31" s="246"/>
    </row>
    <row r="32" spans="1:18" s="709" customFormat="1" x14ac:dyDescent="0.25">
      <c r="A32" s="1232" t="str">
        <f>head27a</f>
        <v>References</v>
      </c>
      <c r="B32" s="2462"/>
      <c r="C32" s="1079"/>
      <c r="D32" s="1079"/>
      <c r="E32" s="1079"/>
      <c r="F32" s="1079"/>
      <c r="G32" s="1079"/>
      <c r="H32" s="1079"/>
      <c r="I32" s="1079"/>
      <c r="J32" s="1079"/>
      <c r="K32" s="1079"/>
      <c r="L32" s="1079"/>
      <c r="P32" s="1061"/>
      <c r="Q32" s="1061"/>
      <c r="R32" s="1061"/>
    </row>
    <row r="33" spans="1:20" s="709" customFormat="1" ht="11.25" customHeight="1" x14ac:dyDescent="0.25">
      <c r="A33" s="1194" t="s">
        <v>366</v>
      </c>
      <c r="B33" s="2462"/>
      <c r="C33" s="1042"/>
      <c r="D33" s="1041"/>
      <c r="E33" s="1041"/>
      <c r="F33" s="1041"/>
      <c r="G33" s="1041"/>
      <c r="H33" s="1041"/>
      <c r="I33" s="1041"/>
      <c r="J33" s="1042"/>
      <c r="K33" s="1042"/>
      <c r="L33" s="1042"/>
    </row>
    <row r="34" spans="1:20" s="709" customFormat="1" ht="11.25" customHeight="1" x14ac:dyDescent="0.25">
      <c r="A34" s="1194" t="s">
        <v>924</v>
      </c>
      <c r="B34" s="2462"/>
      <c r="C34" s="1042"/>
      <c r="D34" s="1041"/>
      <c r="E34" s="1041"/>
      <c r="F34" s="1041"/>
      <c r="G34" s="1041"/>
      <c r="H34" s="1041"/>
      <c r="I34" s="1041"/>
      <c r="J34" s="1042"/>
      <c r="K34" s="1042"/>
      <c r="L34" s="1042"/>
    </row>
    <row r="35" spans="1:20" ht="11.25" customHeight="1" x14ac:dyDescent="0.25">
      <c r="A35" s="1194" t="s">
        <v>2216</v>
      </c>
      <c r="B35" s="430"/>
      <c r="C35" s="309"/>
      <c r="D35" s="309"/>
      <c r="E35" s="309"/>
      <c r="F35" s="309"/>
      <c r="G35" s="309"/>
      <c r="H35" s="309"/>
      <c r="I35" s="309"/>
      <c r="J35" s="309"/>
      <c r="K35" s="309"/>
      <c r="L35" s="309"/>
    </row>
    <row r="36" spans="1:20" ht="11.25" customHeight="1" x14ac:dyDescent="0.25">
      <c r="A36" s="437" t="s">
        <v>1512</v>
      </c>
      <c r="K36" s="748">
        <f>K30-'A6-FinPos'!J7-'A6-FinPos'!J16</f>
        <v>0.20600003338768147</v>
      </c>
      <c r="L36" s="339"/>
    </row>
    <row r="37" spans="1:20" ht="11.25" customHeight="1" x14ac:dyDescent="0.25"/>
    <row r="38" spans="1:20" ht="11.25" customHeight="1" x14ac:dyDescent="0.25"/>
    <row r="39" spans="1:20" ht="11.25" customHeight="1" x14ac:dyDescent="0.25"/>
    <row r="40" spans="1:20" ht="11.25" customHeight="1" x14ac:dyDescent="0.25"/>
    <row r="41" spans="1:20" ht="11.25" customHeight="1" x14ac:dyDescent="0.25"/>
    <row r="42" spans="1:20" ht="11.25" customHeight="1" x14ac:dyDescent="0.25"/>
    <row r="43" spans="1:20" ht="11.25" customHeight="1" x14ac:dyDescent="0.25">
      <c r="T43" s="370"/>
    </row>
    <row r="44" spans="1:20" ht="11.25" customHeight="1" x14ac:dyDescent="0.25"/>
    <row r="45" spans="1:20" ht="11.25" customHeight="1" x14ac:dyDescent="0.25"/>
    <row r="46" spans="1:20" ht="11.25" customHeight="1" x14ac:dyDescent="0.25"/>
    <row r="47" spans="1:20" ht="11.25" customHeight="1" x14ac:dyDescent="0.25"/>
    <row r="48" spans="1:20"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sheetData>
  <sheetProtection sheet="1" objects="1" scenarios="1"/>
  <mergeCells count="2">
    <mergeCell ref="D2:D3"/>
    <mergeCell ref="J2:J3"/>
  </mergeCells>
  <phoneticPr fontId="2" type="noConversion"/>
  <printOptions horizontalCentered="1"/>
  <pageMargins left="0" right="0" top="0.78740157480314965" bottom="0.59055118110236227" header="0.51181102362204722" footer="0.39370078740157483"/>
  <pageSetup paperSize="9" scale="60" orientation="portrait"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enableFormatConditionsCalculation="0">
    <tabColor indexed="42"/>
    <pageSetUpPr fitToPage="1"/>
  </sheetPr>
  <dimension ref="A1:AS72"/>
  <sheetViews>
    <sheetView showGridLines="0" zoomScaleNormal="100" workbookViewId="0">
      <pane xSplit="2" ySplit="3" topLeftCell="C55" activePane="bottomRight" state="frozen"/>
      <selection pane="topRight"/>
      <selection pane="bottomLeft"/>
      <selection pane="bottomRight" activeCell="H6" sqref="H6"/>
    </sheetView>
  </sheetViews>
  <sheetFormatPr defaultColWidth="9.1796875" defaultRowHeight="10.5" x14ac:dyDescent="0.25"/>
  <cols>
    <col min="1" max="1" width="30.7265625" style="149" customWidth="1"/>
    <col min="2" max="2" width="3" style="247" customWidth="1"/>
    <col min="3" max="11" width="9.26953125" style="149" customWidth="1"/>
    <col min="12" max="12" width="9.81640625" style="149" customWidth="1"/>
    <col min="13" max="13" width="9.54296875" style="149" customWidth="1"/>
    <col min="14" max="14" width="9.81640625" style="149" customWidth="1"/>
    <col min="15" max="17" width="9.54296875" style="149" customWidth="1"/>
    <col min="18" max="18" width="9.81640625" style="149" customWidth="1"/>
    <col min="19" max="21" width="9.54296875" style="149" customWidth="1"/>
    <col min="22" max="23" width="9.81640625" style="149" customWidth="1"/>
    <col min="24" max="16384" width="9.1796875" style="149"/>
  </cols>
  <sheetData>
    <row r="1" spans="1:11" ht="13" x14ac:dyDescent="0.3">
      <c r="A1" s="147" t="str">
        <f>muni&amp;" - "&amp;TableA17</f>
        <v>KZN225 Msunduzi - Supporting Table SA17 Borrowing</v>
      </c>
      <c r="B1" s="147"/>
      <c r="C1" s="147"/>
      <c r="D1" s="147"/>
      <c r="E1" s="147"/>
      <c r="F1" s="147"/>
      <c r="G1" s="147"/>
      <c r="H1" s="147"/>
      <c r="I1" s="147"/>
      <c r="J1" s="147"/>
      <c r="K1" s="147"/>
    </row>
    <row r="2" spans="1:11" ht="28.5" customHeight="1" x14ac:dyDescent="0.25">
      <c r="A2" s="996" t="s">
        <v>828</v>
      </c>
      <c r="B2" s="419" t="str">
        <f>head27</f>
        <v>Ref</v>
      </c>
      <c r="C2" s="150" t="str">
        <f>head1b</f>
        <v>2009/10</v>
      </c>
      <c r="D2" s="150" t="str">
        <f>head1A</f>
        <v>2010/11</v>
      </c>
      <c r="E2" s="146" t="str">
        <f>Head1</f>
        <v>2011/12</v>
      </c>
      <c r="F2" s="2677" t="str">
        <f>Head2</f>
        <v>Current Year 2012/13</v>
      </c>
      <c r="G2" s="2678"/>
      <c r="H2" s="2682"/>
      <c r="I2" s="2674" t="str">
        <f>Head3</f>
        <v>2013/14 Medium Term Revenue &amp; Expenditure Framework</v>
      </c>
      <c r="J2" s="2675"/>
      <c r="K2" s="2676"/>
    </row>
    <row r="3" spans="1:11" ht="21" x14ac:dyDescent="0.25">
      <c r="A3" s="180" t="s">
        <v>665</v>
      </c>
      <c r="B3" s="990"/>
      <c r="C3" s="390" t="str">
        <f>Head5</f>
        <v>Audited Outcome</v>
      </c>
      <c r="D3" s="390" t="str">
        <f>Head5</f>
        <v>Audited Outcome</v>
      </c>
      <c r="E3" s="391" t="str">
        <f>Head5</f>
        <v>Audited Outcome</v>
      </c>
      <c r="F3" s="299" t="str">
        <f>Head6</f>
        <v>Original Budget</v>
      </c>
      <c r="G3" s="390" t="str">
        <f>Head7</f>
        <v>Adjusted Budget</v>
      </c>
      <c r="H3" s="391" t="str">
        <f>Head8</f>
        <v>Full Year Forecast</v>
      </c>
      <c r="I3" s="299" t="str">
        <f>Head9</f>
        <v>Budget Year 2013/14</v>
      </c>
      <c r="J3" s="390" t="str">
        <f>Head10</f>
        <v>Budget Year +1 2014/15</v>
      </c>
      <c r="K3" s="391" t="str">
        <f>Head11</f>
        <v>Budget Year +2 2015/16</v>
      </c>
    </row>
    <row r="4" spans="1:11" ht="12.75" customHeight="1" x14ac:dyDescent="0.25">
      <c r="A4" s="249" t="s">
        <v>178</v>
      </c>
      <c r="B4" s="182"/>
      <c r="C4" s="715"/>
      <c r="D4" s="715"/>
      <c r="E4" s="750"/>
      <c r="F4" s="712"/>
      <c r="G4" s="715"/>
      <c r="H4" s="713"/>
      <c r="I4" s="716"/>
      <c r="J4" s="715"/>
      <c r="K4" s="711"/>
    </row>
    <row r="5" spans="1:11" ht="12.75" customHeight="1" x14ac:dyDescent="0.25">
      <c r="A5" s="250" t="s">
        <v>103</v>
      </c>
      <c r="B5" s="182"/>
      <c r="C5" s="1908">
        <v>570128738</v>
      </c>
      <c r="D5" s="1908">
        <v>518941953</v>
      </c>
      <c r="E5" s="1909">
        <v>22370669</v>
      </c>
      <c r="F5" s="1910">
        <v>647309128</v>
      </c>
      <c r="G5" s="1908">
        <v>647309128</v>
      </c>
      <c r="H5" s="1911">
        <v>647309128</v>
      </c>
      <c r="I5" s="1912">
        <v>573000000</v>
      </c>
      <c r="J5" s="1908">
        <v>503000000</v>
      </c>
      <c r="K5" s="1909">
        <v>430000000</v>
      </c>
    </row>
    <row r="6" spans="1:11" ht="12.75" customHeight="1" x14ac:dyDescent="0.25">
      <c r="A6" s="250" t="s">
        <v>293</v>
      </c>
      <c r="B6" s="182"/>
      <c r="C6" s="1908"/>
      <c r="D6" s="1908"/>
      <c r="E6" s="1909"/>
      <c r="F6" s="1910"/>
      <c r="G6" s="1908"/>
      <c r="H6" s="1911"/>
      <c r="I6" s="1912"/>
      <c r="J6" s="1908"/>
      <c r="K6" s="1909"/>
    </row>
    <row r="7" spans="1:11" ht="12.75" customHeight="1" x14ac:dyDescent="0.25">
      <c r="A7" s="250" t="s">
        <v>104</v>
      </c>
      <c r="B7" s="182"/>
      <c r="C7" s="1908"/>
      <c r="D7" s="1908"/>
      <c r="E7" s="1909"/>
      <c r="F7" s="1910"/>
      <c r="G7" s="1908"/>
      <c r="H7" s="1911"/>
      <c r="I7" s="1912"/>
      <c r="J7" s="1908"/>
      <c r="K7" s="1909"/>
    </row>
    <row r="8" spans="1:11" ht="12.75" customHeight="1" x14ac:dyDescent="0.25">
      <c r="A8" s="250" t="s">
        <v>557</v>
      </c>
      <c r="B8" s="182"/>
      <c r="C8" s="1908"/>
      <c r="D8" s="1908"/>
      <c r="E8" s="1909"/>
      <c r="F8" s="1910"/>
      <c r="G8" s="1908"/>
      <c r="H8" s="1911"/>
      <c r="I8" s="1912"/>
      <c r="J8" s="1908"/>
      <c r="K8" s="1909"/>
    </row>
    <row r="9" spans="1:11" ht="12.75" customHeight="1" x14ac:dyDescent="0.25">
      <c r="A9" s="250" t="s">
        <v>558</v>
      </c>
      <c r="B9" s="182"/>
      <c r="C9" s="1908"/>
      <c r="D9" s="1908"/>
      <c r="E9" s="1909"/>
      <c r="F9" s="1910"/>
      <c r="G9" s="1908"/>
      <c r="H9" s="1911"/>
      <c r="I9" s="1912"/>
      <c r="J9" s="1908"/>
      <c r="K9" s="1909"/>
    </row>
    <row r="10" spans="1:11" ht="12.75" customHeight="1" x14ac:dyDescent="0.25">
      <c r="A10" s="250" t="s">
        <v>782</v>
      </c>
      <c r="B10" s="182"/>
      <c r="C10" s="1908"/>
      <c r="D10" s="1908"/>
      <c r="E10" s="1909"/>
      <c r="F10" s="1910"/>
      <c r="G10" s="1908"/>
      <c r="H10" s="1911"/>
      <c r="I10" s="1912"/>
      <c r="J10" s="1908"/>
      <c r="K10" s="1909"/>
    </row>
    <row r="11" spans="1:11" ht="12.75" customHeight="1" x14ac:dyDescent="0.25">
      <c r="A11" s="250" t="s">
        <v>106</v>
      </c>
      <c r="B11" s="182"/>
      <c r="C11" s="1908"/>
      <c r="D11" s="1908"/>
      <c r="E11" s="1909"/>
      <c r="F11" s="1910"/>
      <c r="G11" s="1908"/>
      <c r="H11" s="1911"/>
      <c r="I11" s="1912"/>
      <c r="J11" s="1908"/>
      <c r="K11" s="1909"/>
    </row>
    <row r="12" spans="1:11" ht="12.75" customHeight="1" x14ac:dyDescent="0.25">
      <c r="A12" s="250" t="s">
        <v>107</v>
      </c>
      <c r="B12" s="182"/>
      <c r="C12" s="1908"/>
      <c r="D12" s="1908"/>
      <c r="E12" s="1909"/>
      <c r="F12" s="1910"/>
      <c r="G12" s="1908"/>
      <c r="H12" s="1911"/>
      <c r="I12" s="1912"/>
      <c r="J12" s="1908"/>
      <c r="K12" s="1909"/>
    </row>
    <row r="13" spans="1:11" ht="12.75" customHeight="1" x14ac:dyDescent="0.25">
      <c r="A13" s="250" t="s">
        <v>108</v>
      </c>
      <c r="B13" s="182"/>
      <c r="C13" s="1908"/>
      <c r="D13" s="1908"/>
      <c r="E13" s="1909"/>
      <c r="F13" s="1910"/>
      <c r="G13" s="1908"/>
      <c r="H13" s="1911"/>
      <c r="I13" s="1912"/>
      <c r="J13" s="1908"/>
      <c r="K13" s="1909"/>
    </row>
    <row r="14" spans="1:11" ht="12.75" customHeight="1" x14ac:dyDescent="0.25">
      <c r="A14" s="250" t="s">
        <v>109</v>
      </c>
      <c r="B14" s="182"/>
      <c r="C14" s="1908"/>
      <c r="D14" s="1908"/>
      <c r="E14" s="1909"/>
      <c r="F14" s="1910"/>
      <c r="G14" s="1908"/>
      <c r="H14" s="1911"/>
      <c r="I14" s="1912"/>
      <c r="J14" s="1908"/>
      <c r="K14" s="1909"/>
    </row>
    <row r="15" spans="1:11" ht="12.75" customHeight="1" x14ac:dyDescent="0.25">
      <c r="A15" s="250" t="s">
        <v>783</v>
      </c>
      <c r="B15" s="182"/>
      <c r="C15" s="1908"/>
      <c r="D15" s="1908"/>
      <c r="E15" s="1909"/>
      <c r="F15" s="1910"/>
      <c r="G15" s="1908"/>
      <c r="H15" s="1911"/>
      <c r="I15" s="1912"/>
      <c r="J15" s="1908"/>
      <c r="K15" s="1909"/>
    </row>
    <row r="16" spans="1:11" ht="12.75" customHeight="1" x14ac:dyDescent="0.25">
      <c r="A16" s="250" t="s">
        <v>110</v>
      </c>
      <c r="B16" s="182"/>
      <c r="C16" s="1908"/>
      <c r="D16" s="1908"/>
      <c r="E16" s="1909"/>
      <c r="F16" s="1910"/>
      <c r="G16" s="1908"/>
      <c r="H16" s="1911"/>
      <c r="I16" s="1912"/>
      <c r="J16" s="1908"/>
      <c r="K16" s="1909"/>
    </row>
    <row r="17" spans="1:11" ht="12.75" customHeight="1" x14ac:dyDescent="0.25">
      <c r="A17" s="265" t="s">
        <v>177</v>
      </c>
      <c r="B17" s="182">
        <v>1</v>
      </c>
      <c r="C17" s="717">
        <f>SUM(C5:C16)</f>
        <v>570128738</v>
      </c>
      <c r="D17" s="717">
        <f t="shared" ref="D17:K17" si="0">SUM(D5:D16)</f>
        <v>518941953</v>
      </c>
      <c r="E17" s="718">
        <f t="shared" si="0"/>
        <v>22370669</v>
      </c>
      <c r="F17" s="719">
        <f t="shared" si="0"/>
        <v>647309128</v>
      </c>
      <c r="G17" s="717">
        <f t="shared" si="0"/>
        <v>647309128</v>
      </c>
      <c r="H17" s="720">
        <f t="shared" si="0"/>
        <v>647309128</v>
      </c>
      <c r="I17" s="721">
        <f t="shared" si="0"/>
        <v>573000000</v>
      </c>
      <c r="J17" s="717">
        <f t="shared" si="0"/>
        <v>503000000</v>
      </c>
      <c r="K17" s="718">
        <f t="shared" si="0"/>
        <v>430000000</v>
      </c>
    </row>
    <row r="18" spans="1:11" ht="12.75" customHeight="1" x14ac:dyDescent="0.25">
      <c r="A18" s="265"/>
      <c r="B18" s="182"/>
      <c r="C18" s="751"/>
      <c r="D18" s="751"/>
      <c r="E18" s="752"/>
      <c r="F18" s="753"/>
      <c r="G18" s="751"/>
      <c r="H18" s="754"/>
      <c r="I18" s="755"/>
      <c r="J18" s="751"/>
      <c r="K18" s="752"/>
    </row>
    <row r="19" spans="1:11" ht="12.75" customHeight="1" x14ac:dyDescent="0.25">
      <c r="A19" s="249" t="s">
        <v>678</v>
      </c>
      <c r="B19" s="182"/>
      <c r="C19" s="715"/>
      <c r="D19" s="715"/>
      <c r="E19" s="711"/>
      <c r="F19" s="712"/>
      <c r="G19" s="715"/>
      <c r="H19" s="713"/>
      <c r="I19" s="716"/>
      <c r="J19" s="715"/>
      <c r="K19" s="711"/>
    </row>
    <row r="20" spans="1:11" ht="12.75" customHeight="1" x14ac:dyDescent="0.25">
      <c r="A20" s="250" t="str">
        <f t="shared" ref="A20:A31" si="1">A5</f>
        <v>Long-Term Loans (annuity/reducing balance)</v>
      </c>
      <c r="B20" s="182"/>
      <c r="C20" s="1908"/>
      <c r="D20" s="1908"/>
      <c r="E20" s="1909"/>
      <c r="F20" s="1910"/>
      <c r="G20" s="1908"/>
      <c r="H20" s="1911"/>
      <c r="I20" s="1912"/>
      <c r="J20" s="1908"/>
      <c r="K20" s="1909"/>
    </row>
    <row r="21" spans="1:11" ht="12.75" customHeight="1" x14ac:dyDescent="0.25">
      <c r="A21" s="250" t="str">
        <f t="shared" si="1"/>
        <v>Long-Term Loans (non-annuity)</v>
      </c>
      <c r="B21" s="182"/>
      <c r="C21" s="1908"/>
      <c r="D21" s="1908"/>
      <c r="E21" s="1909"/>
      <c r="F21" s="1910"/>
      <c r="G21" s="1908"/>
      <c r="H21" s="1911"/>
      <c r="I21" s="1912"/>
      <c r="J21" s="1908"/>
      <c r="K21" s="1909"/>
    </row>
    <row r="22" spans="1:11" ht="12.75" customHeight="1" x14ac:dyDescent="0.25">
      <c r="A22" s="250" t="str">
        <f t="shared" si="1"/>
        <v>Local registered stock</v>
      </c>
      <c r="B22" s="182"/>
      <c r="C22" s="1908"/>
      <c r="D22" s="1908"/>
      <c r="E22" s="1909"/>
      <c r="F22" s="1910"/>
      <c r="G22" s="1908"/>
      <c r="H22" s="1911"/>
      <c r="I22" s="1912"/>
      <c r="J22" s="1908"/>
      <c r="K22" s="1909"/>
    </row>
    <row r="23" spans="1:11" ht="12.75" customHeight="1" x14ac:dyDescent="0.25">
      <c r="A23" s="250" t="str">
        <f t="shared" si="1"/>
        <v>Instalment Credit</v>
      </c>
      <c r="B23" s="182"/>
      <c r="C23" s="1908"/>
      <c r="D23" s="1908"/>
      <c r="E23" s="1909"/>
      <c r="F23" s="1910"/>
      <c r="G23" s="1908"/>
      <c r="H23" s="1911"/>
      <c r="I23" s="1912"/>
      <c r="J23" s="1908"/>
      <c r="K23" s="1909"/>
    </row>
    <row r="24" spans="1:11" ht="12.75" customHeight="1" x14ac:dyDescent="0.25">
      <c r="A24" s="250" t="str">
        <f t="shared" si="1"/>
        <v>Financial Leases</v>
      </c>
      <c r="B24" s="182"/>
      <c r="C24" s="1908"/>
      <c r="D24" s="1908"/>
      <c r="E24" s="1909"/>
      <c r="F24" s="1910"/>
      <c r="G24" s="1908"/>
      <c r="H24" s="1911"/>
      <c r="I24" s="1912"/>
      <c r="J24" s="1908"/>
      <c r="K24" s="1909"/>
    </row>
    <row r="25" spans="1:11" ht="12.75" customHeight="1" x14ac:dyDescent="0.25">
      <c r="A25" s="250" t="str">
        <f t="shared" si="1"/>
        <v>PPP liabilities</v>
      </c>
      <c r="B25" s="182"/>
      <c r="C25" s="1908"/>
      <c r="D25" s="1908"/>
      <c r="E25" s="1909"/>
      <c r="F25" s="1910"/>
      <c r="G25" s="1908"/>
      <c r="H25" s="1911"/>
      <c r="I25" s="1912"/>
      <c r="J25" s="1908"/>
      <c r="K25" s="1909"/>
    </row>
    <row r="26" spans="1:11" ht="12.75" customHeight="1" x14ac:dyDescent="0.25">
      <c r="A26" s="250" t="str">
        <f t="shared" si="1"/>
        <v>Finance Granted By Cap Equipment Supplier</v>
      </c>
      <c r="B26" s="182"/>
      <c r="C26" s="1908"/>
      <c r="D26" s="1908"/>
      <c r="E26" s="1909"/>
      <c r="F26" s="1910"/>
      <c r="G26" s="1908"/>
      <c r="H26" s="1911"/>
      <c r="I26" s="1912"/>
      <c r="J26" s="1908"/>
      <c r="K26" s="1909"/>
    </row>
    <row r="27" spans="1:11" ht="12.75" customHeight="1" x14ac:dyDescent="0.25">
      <c r="A27" s="250" t="str">
        <f t="shared" si="1"/>
        <v>Marketable Bonds</v>
      </c>
      <c r="B27" s="182"/>
      <c r="C27" s="1908"/>
      <c r="D27" s="1908"/>
      <c r="E27" s="1909"/>
      <c r="F27" s="1910"/>
      <c r="G27" s="1908"/>
      <c r="H27" s="1911"/>
      <c r="I27" s="1912"/>
      <c r="J27" s="1908"/>
      <c r="K27" s="1909"/>
    </row>
    <row r="28" spans="1:11" ht="12.75" customHeight="1" x14ac:dyDescent="0.25">
      <c r="A28" s="250" t="str">
        <f t="shared" si="1"/>
        <v>Non-Marketable Bonds</v>
      </c>
      <c r="B28" s="182"/>
      <c r="C28" s="1908"/>
      <c r="D28" s="1908"/>
      <c r="E28" s="1909"/>
      <c r="F28" s="1910"/>
      <c r="G28" s="1908"/>
      <c r="H28" s="1911"/>
      <c r="I28" s="1912"/>
      <c r="J28" s="1908"/>
      <c r="K28" s="1909"/>
    </row>
    <row r="29" spans="1:11" ht="12.75" customHeight="1" x14ac:dyDescent="0.25">
      <c r="A29" s="250" t="str">
        <f t="shared" si="1"/>
        <v>Bankers Acceptances</v>
      </c>
      <c r="B29" s="182"/>
      <c r="C29" s="1908"/>
      <c r="D29" s="1908"/>
      <c r="E29" s="1909"/>
      <c r="F29" s="1910"/>
      <c r="G29" s="1908"/>
      <c r="H29" s="1911"/>
      <c r="I29" s="1912"/>
      <c r="J29" s="1908"/>
      <c r="K29" s="1909"/>
    </row>
    <row r="30" spans="1:11" ht="12.75" customHeight="1" x14ac:dyDescent="0.25">
      <c r="A30" s="250" t="str">
        <f t="shared" si="1"/>
        <v>Financial derivatives</v>
      </c>
      <c r="B30" s="182"/>
      <c r="C30" s="1908"/>
      <c r="D30" s="1908"/>
      <c r="E30" s="1909"/>
      <c r="F30" s="1910"/>
      <c r="G30" s="1908"/>
      <c r="H30" s="1911"/>
      <c r="I30" s="1912"/>
      <c r="J30" s="1908"/>
      <c r="K30" s="1909"/>
    </row>
    <row r="31" spans="1:11" ht="12.75" customHeight="1" x14ac:dyDescent="0.25">
      <c r="A31" s="250" t="str">
        <f t="shared" si="1"/>
        <v>Other Securities</v>
      </c>
      <c r="B31" s="182"/>
      <c r="C31" s="1908"/>
      <c r="D31" s="1908"/>
      <c r="E31" s="1909"/>
      <c r="F31" s="1910"/>
      <c r="G31" s="1908"/>
      <c r="H31" s="1911"/>
      <c r="I31" s="1912"/>
      <c r="J31" s="1908"/>
      <c r="K31" s="1909"/>
    </row>
    <row r="32" spans="1:11" ht="12.75" customHeight="1" x14ac:dyDescent="0.25">
      <c r="A32" s="265" t="s">
        <v>176</v>
      </c>
      <c r="B32" s="182">
        <v>1</v>
      </c>
      <c r="C32" s="717">
        <f>SUM(C20:C31)</f>
        <v>0</v>
      </c>
      <c r="D32" s="717">
        <f t="shared" ref="D32:K32" si="2">SUM(D20:D31)</f>
        <v>0</v>
      </c>
      <c r="E32" s="718">
        <f t="shared" si="2"/>
        <v>0</v>
      </c>
      <c r="F32" s="719">
        <f t="shared" si="2"/>
        <v>0</v>
      </c>
      <c r="G32" s="717">
        <f t="shared" si="2"/>
        <v>0</v>
      </c>
      <c r="H32" s="720">
        <f t="shared" si="2"/>
        <v>0</v>
      </c>
      <c r="I32" s="721">
        <f t="shared" si="2"/>
        <v>0</v>
      </c>
      <c r="J32" s="717">
        <f t="shared" si="2"/>
        <v>0</v>
      </c>
      <c r="K32" s="718">
        <f t="shared" si="2"/>
        <v>0</v>
      </c>
    </row>
    <row r="33" spans="1:45" ht="12.75" customHeight="1" x14ac:dyDescent="0.25">
      <c r="A33" s="273"/>
      <c r="B33" s="182"/>
      <c r="C33" s="715"/>
      <c r="D33" s="715"/>
      <c r="E33" s="711"/>
      <c r="F33" s="712"/>
      <c r="G33" s="715"/>
      <c r="H33" s="713"/>
      <c r="I33" s="716"/>
      <c r="J33" s="715"/>
      <c r="K33" s="711"/>
    </row>
    <row r="34" spans="1:45" ht="12.75" customHeight="1" x14ac:dyDescent="0.25">
      <c r="A34" s="281" t="s">
        <v>1364</v>
      </c>
      <c r="B34" s="225">
        <v>1</v>
      </c>
      <c r="C34" s="728">
        <f>C17+C32</f>
        <v>570128738</v>
      </c>
      <c r="D34" s="728">
        <f t="shared" ref="D34:K34" si="3">D17+D32</f>
        <v>518941953</v>
      </c>
      <c r="E34" s="729">
        <f t="shared" si="3"/>
        <v>22370669</v>
      </c>
      <c r="F34" s="730">
        <f t="shared" si="3"/>
        <v>647309128</v>
      </c>
      <c r="G34" s="728">
        <f t="shared" si="3"/>
        <v>647309128</v>
      </c>
      <c r="H34" s="731">
        <f t="shared" si="3"/>
        <v>647309128</v>
      </c>
      <c r="I34" s="732">
        <f t="shared" si="3"/>
        <v>573000000</v>
      </c>
      <c r="J34" s="728">
        <f t="shared" si="3"/>
        <v>503000000</v>
      </c>
      <c r="K34" s="729">
        <f t="shared" si="3"/>
        <v>430000000</v>
      </c>
    </row>
    <row r="35" spans="1:45" ht="12.75" customHeight="1" x14ac:dyDescent="0.25">
      <c r="A35" s="1559"/>
      <c r="B35" s="652"/>
      <c r="C35" s="754"/>
      <c r="D35" s="754"/>
      <c r="E35" s="754"/>
      <c r="F35" s="754"/>
      <c r="G35" s="754"/>
      <c r="H35" s="754"/>
      <c r="I35" s="754"/>
      <c r="J35" s="754"/>
      <c r="K35" s="754"/>
    </row>
    <row r="36" spans="1:45" ht="18.75" customHeight="1" x14ac:dyDescent="0.25">
      <c r="A36" s="996" t="s">
        <v>2199</v>
      </c>
      <c r="B36" s="419"/>
      <c r="C36" s="632"/>
      <c r="D36" s="632"/>
      <c r="E36" s="927"/>
      <c r="F36" s="2144"/>
      <c r="G36" s="419"/>
      <c r="H36" s="997"/>
      <c r="I36" s="2435"/>
      <c r="J36" s="2433"/>
      <c r="K36" s="2434"/>
      <c r="L36" s="246"/>
      <c r="M36" s="246"/>
      <c r="N36" s="246"/>
    </row>
    <row r="37" spans="1:45" ht="12.75" customHeight="1" x14ac:dyDescent="0.25">
      <c r="A37" s="249" t="s">
        <v>178</v>
      </c>
      <c r="B37" s="182"/>
      <c r="C37" s="715"/>
      <c r="D37" s="715"/>
      <c r="E37" s="750"/>
      <c r="F37" s="716"/>
      <c r="G37" s="715"/>
      <c r="H37" s="743"/>
      <c r="I37" s="2432"/>
      <c r="J37" s="715"/>
      <c r="K37" s="743"/>
    </row>
    <row r="38" spans="1:45" ht="11.25" customHeight="1" x14ac:dyDescent="0.25">
      <c r="A38" s="250" t="s">
        <v>103</v>
      </c>
      <c r="B38" s="182"/>
      <c r="C38" s="1908">
        <v>570128738</v>
      </c>
      <c r="D38" s="1908">
        <v>518941953</v>
      </c>
      <c r="E38" s="1909">
        <v>44526158.25</v>
      </c>
      <c r="F38" s="1910">
        <v>647309128</v>
      </c>
      <c r="G38" s="1908">
        <v>0</v>
      </c>
      <c r="H38" s="1911">
        <f>F38</f>
        <v>647309128</v>
      </c>
      <c r="I38" s="1908">
        <v>573000000</v>
      </c>
      <c r="J38" s="1909">
        <v>503000000</v>
      </c>
      <c r="K38" s="1909">
        <v>430000000</v>
      </c>
      <c r="L38" s="370"/>
    </row>
    <row r="39" spans="1:45" ht="11.25" customHeight="1" x14ac:dyDescent="0.25">
      <c r="A39" s="250" t="s">
        <v>293</v>
      </c>
      <c r="B39" s="182"/>
      <c r="C39" s="1908"/>
      <c r="D39" s="1908"/>
      <c r="E39" s="1909"/>
      <c r="F39" s="1910"/>
      <c r="G39" s="1908"/>
      <c r="H39" s="1911"/>
      <c r="I39" s="1908"/>
      <c r="J39" s="1909"/>
      <c r="K39" s="1909"/>
    </row>
    <row r="40" spans="1:45" ht="11.25" customHeight="1" x14ac:dyDescent="0.25">
      <c r="A40" s="250" t="s">
        <v>104</v>
      </c>
      <c r="B40" s="182"/>
      <c r="C40" s="1908"/>
      <c r="D40" s="1908"/>
      <c r="E40" s="1909"/>
      <c r="F40" s="1910"/>
      <c r="G40" s="1908"/>
      <c r="H40" s="1911"/>
      <c r="I40" s="1908"/>
      <c r="J40" s="1909"/>
      <c r="K40" s="1909"/>
    </row>
    <row r="41" spans="1:45" ht="11.25" customHeight="1" x14ac:dyDescent="0.25">
      <c r="A41" s="250" t="s">
        <v>557</v>
      </c>
      <c r="B41" s="182"/>
      <c r="C41" s="1908"/>
      <c r="D41" s="1908"/>
      <c r="E41" s="1909"/>
      <c r="F41" s="1910"/>
      <c r="G41" s="1908"/>
      <c r="H41" s="1911"/>
      <c r="I41" s="1908"/>
      <c r="J41" s="1909"/>
      <c r="K41" s="1909"/>
      <c r="AQ41" s="149">
        <v>439005000</v>
      </c>
      <c r="AS41" s="149">
        <v>539442200</v>
      </c>
    </row>
    <row r="42" spans="1:45" ht="11.25" customHeight="1" x14ac:dyDescent="0.25">
      <c r="A42" s="250" t="s">
        <v>558</v>
      </c>
      <c r="B42" s="182"/>
      <c r="C42" s="1908"/>
      <c r="D42" s="1908"/>
      <c r="E42" s="1909"/>
      <c r="F42" s="1910"/>
      <c r="G42" s="1908"/>
      <c r="H42" s="1911"/>
      <c r="I42" s="1908"/>
      <c r="J42" s="1909"/>
      <c r="K42" s="1909"/>
    </row>
    <row r="43" spans="1:45" ht="11.25" customHeight="1" x14ac:dyDescent="0.25">
      <c r="A43" s="250" t="s">
        <v>782</v>
      </c>
      <c r="B43" s="182"/>
      <c r="C43" s="1908"/>
      <c r="D43" s="1908"/>
      <c r="E43" s="1909"/>
      <c r="F43" s="1910"/>
      <c r="G43" s="1908"/>
      <c r="H43" s="1911"/>
      <c r="I43" s="1908"/>
      <c r="J43" s="1909"/>
      <c r="K43" s="1909"/>
      <c r="W43" s="149">
        <v>0</v>
      </c>
      <c r="Y43" s="149">
        <v>0</v>
      </c>
      <c r="AB43" s="149">
        <v>0</v>
      </c>
      <c r="AD43" s="149">
        <v>0</v>
      </c>
      <c r="AG43" s="149">
        <v>0</v>
      </c>
      <c r="AI43" s="149">
        <v>0</v>
      </c>
      <c r="AL43" s="149">
        <v>0</v>
      </c>
      <c r="AN43" s="149">
        <v>0</v>
      </c>
      <c r="AQ43" s="149">
        <v>1834701353</v>
      </c>
      <c r="AS43" s="149">
        <v>1241876995</v>
      </c>
    </row>
    <row r="44" spans="1:45" ht="11.25" customHeight="1" x14ac:dyDescent="0.25">
      <c r="A44" s="250" t="s">
        <v>106</v>
      </c>
      <c r="B44" s="182"/>
      <c r="C44" s="1908"/>
      <c r="D44" s="1908"/>
      <c r="E44" s="1909"/>
      <c r="F44" s="1910"/>
      <c r="G44" s="1908"/>
      <c r="H44" s="1911"/>
      <c r="I44" s="1908"/>
      <c r="J44" s="1909"/>
      <c r="K44" s="1909"/>
      <c r="AQ44" s="149">
        <v>839041298</v>
      </c>
      <c r="AS44" s="149">
        <v>440387617</v>
      </c>
    </row>
    <row r="45" spans="1:45" ht="11.25" customHeight="1" x14ac:dyDescent="0.25">
      <c r="A45" s="250" t="s">
        <v>107</v>
      </c>
      <c r="B45" s="182"/>
      <c r="C45" s="1908"/>
      <c r="D45" s="1908"/>
      <c r="E45" s="1909"/>
      <c r="F45" s="1910"/>
      <c r="G45" s="1908"/>
      <c r="H45" s="1911"/>
      <c r="I45" s="1908"/>
      <c r="J45" s="1909"/>
      <c r="K45" s="1909"/>
      <c r="AQ45" s="149">
        <v>976543638</v>
      </c>
      <c r="AS45" s="149">
        <v>782372961</v>
      </c>
    </row>
    <row r="46" spans="1:45" ht="11.25" customHeight="1" x14ac:dyDescent="0.25">
      <c r="A46" s="250" t="s">
        <v>108</v>
      </c>
      <c r="B46" s="182"/>
      <c r="C46" s="1908"/>
      <c r="D46" s="1908"/>
      <c r="E46" s="1909"/>
      <c r="F46" s="1910"/>
      <c r="G46" s="1908"/>
      <c r="H46" s="1911"/>
      <c r="I46" s="1908"/>
      <c r="J46" s="1909"/>
      <c r="K46" s="1909"/>
      <c r="AQ46" s="149">
        <v>19116417</v>
      </c>
      <c r="AS46" s="149">
        <v>19116417</v>
      </c>
    </row>
    <row r="47" spans="1:45" ht="11.25" customHeight="1" x14ac:dyDescent="0.25">
      <c r="A47" s="250" t="s">
        <v>109</v>
      </c>
      <c r="B47" s="182"/>
      <c r="C47" s="1908"/>
      <c r="D47" s="1908"/>
      <c r="E47" s="1909"/>
      <c r="F47" s="1910"/>
      <c r="G47" s="1908"/>
      <c r="H47" s="1911"/>
      <c r="I47" s="1908"/>
      <c r="J47" s="1909"/>
      <c r="K47" s="1909"/>
      <c r="AQ47" s="149">
        <v>2273706353</v>
      </c>
      <c r="AS47" s="149">
        <v>1781319195</v>
      </c>
    </row>
    <row r="48" spans="1:45" ht="11.25" customHeight="1" x14ac:dyDescent="0.25">
      <c r="A48" s="250" t="s">
        <v>783</v>
      </c>
      <c r="B48" s="182"/>
      <c r="C48" s="1908"/>
      <c r="D48" s="1908"/>
      <c r="E48" s="1909"/>
      <c r="F48" s="1910"/>
      <c r="G48" s="1908"/>
      <c r="H48" s="1911"/>
      <c r="I48" s="1908"/>
      <c r="J48" s="1909"/>
      <c r="K48" s="1909"/>
      <c r="AQ48" s="149">
        <v>180259232</v>
      </c>
      <c r="AS48" s="149">
        <v>140396729</v>
      </c>
    </row>
    <row r="49" spans="1:45" ht="11.25" customHeight="1" x14ac:dyDescent="0.25">
      <c r="A49" s="250" t="s">
        <v>110</v>
      </c>
      <c r="B49" s="182"/>
      <c r="C49" s="1908"/>
      <c r="D49" s="1908"/>
      <c r="E49" s="1909"/>
      <c r="F49" s="1910"/>
      <c r="G49" s="1908"/>
      <c r="H49" s="1911"/>
      <c r="I49" s="1908"/>
      <c r="J49" s="1909"/>
      <c r="K49" s="1909"/>
      <c r="AQ49" s="149">
        <v>125005000</v>
      </c>
      <c r="AS49" s="149">
        <v>100442200</v>
      </c>
    </row>
    <row r="50" spans="1:45" ht="11.25" customHeight="1" x14ac:dyDescent="0.25">
      <c r="A50" s="265" t="s">
        <v>177</v>
      </c>
      <c r="B50" s="182">
        <v>1</v>
      </c>
      <c r="C50" s="717">
        <f>SUM(C38:C49)</f>
        <v>570128738</v>
      </c>
      <c r="D50" s="717">
        <f t="shared" ref="D50:K50" si="4">SUM(D38:D49)</f>
        <v>518941953</v>
      </c>
      <c r="E50" s="718">
        <f t="shared" si="4"/>
        <v>44526158.25</v>
      </c>
      <c r="F50" s="719">
        <f t="shared" si="4"/>
        <v>647309128</v>
      </c>
      <c r="G50" s="717">
        <f t="shared" si="4"/>
        <v>0</v>
      </c>
      <c r="H50" s="720">
        <f t="shared" si="4"/>
        <v>647309128</v>
      </c>
      <c r="I50" s="721">
        <f t="shared" si="4"/>
        <v>573000000</v>
      </c>
      <c r="J50" s="717">
        <f t="shared" si="4"/>
        <v>503000000</v>
      </c>
      <c r="K50" s="718">
        <f t="shared" si="4"/>
        <v>430000000</v>
      </c>
      <c r="AQ50" s="149">
        <v>40341797</v>
      </c>
      <c r="AS50" s="149">
        <v>38954529</v>
      </c>
    </row>
    <row r="51" spans="1:45" ht="11.25" customHeight="1" x14ac:dyDescent="0.25">
      <c r="A51" s="265"/>
      <c r="B51" s="182"/>
      <c r="C51" s="751"/>
      <c r="D51" s="751"/>
      <c r="E51" s="752"/>
      <c r="F51" s="753"/>
      <c r="G51" s="751"/>
      <c r="H51" s="754"/>
      <c r="I51" s="755"/>
      <c r="J51" s="751"/>
      <c r="K51" s="752"/>
      <c r="AQ51" s="149">
        <v>14912435</v>
      </c>
      <c r="AS51" s="149">
        <v>1000000</v>
      </c>
    </row>
    <row r="52" spans="1:45" ht="11.25" customHeight="1" x14ac:dyDescent="0.25">
      <c r="A52" s="249" t="s">
        <v>678</v>
      </c>
      <c r="B52" s="182"/>
      <c r="C52" s="715"/>
      <c r="D52" s="715"/>
      <c r="E52" s="711"/>
      <c r="F52" s="712"/>
      <c r="G52" s="715"/>
      <c r="H52" s="713"/>
      <c r="I52" s="716"/>
      <c r="J52" s="715"/>
      <c r="K52" s="711"/>
    </row>
    <row r="53" spans="1:45" ht="11.25" customHeight="1" x14ac:dyDescent="0.25">
      <c r="A53" s="250" t="str">
        <f t="shared" ref="A53:A64" si="5">A38</f>
        <v>Long-Term Loans (annuity/reducing balance)</v>
      </c>
      <c r="B53" s="182"/>
      <c r="C53" s="1908"/>
      <c r="D53" s="1908"/>
      <c r="E53" s="1909"/>
      <c r="F53" s="1910"/>
      <c r="G53" s="1908"/>
      <c r="H53" s="1911"/>
      <c r="I53" s="1912"/>
      <c r="J53" s="1908"/>
      <c r="K53" s="1909"/>
    </row>
    <row r="54" spans="1:45" ht="11.25" customHeight="1" x14ac:dyDescent="0.25">
      <c r="A54" s="250" t="str">
        <f t="shared" si="5"/>
        <v>Long-Term Loans (non-annuity)</v>
      </c>
      <c r="B54" s="182"/>
      <c r="C54" s="1908"/>
      <c r="D54" s="1908"/>
      <c r="E54" s="1909"/>
      <c r="F54" s="1910"/>
      <c r="G54" s="1908"/>
      <c r="H54" s="1911"/>
      <c r="I54" s="1912"/>
      <c r="J54" s="1908"/>
      <c r="K54" s="1909"/>
    </row>
    <row r="55" spans="1:45" ht="11.25" customHeight="1" x14ac:dyDescent="0.25">
      <c r="A55" s="250" t="str">
        <f t="shared" si="5"/>
        <v>Local registered stock</v>
      </c>
      <c r="B55" s="182"/>
      <c r="C55" s="1908"/>
      <c r="D55" s="1908"/>
      <c r="E55" s="1909"/>
      <c r="F55" s="1910"/>
      <c r="G55" s="1908"/>
      <c r="H55" s="1911"/>
      <c r="I55" s="1912"/>
      <c r="J55" s="1908"/>
      <c r="K55" s="1909"/>
    </row>
    <row r="56" spans="1:45" ht="11.25" customHeight="1" x14ac:dyDescent="0.25">
      <c r="A56" s="250" t="str">
        <f t="shared" si="5"/>
        <v>Instalment Credit</v>
      </c>
      <c r="B56" s="182"/>
      <c r="C56" s="1908"/>
      <c r="D56" s="1908"/>
      <c r="E56" s="1909"/>
      <c r="F56" s="1910"/>
      <c r="G56" s="1908"/>
      <c r="H56" s="1911"/>
      <c r="I56" s="1912"/>
      <c r="J56" s="1908"/>
      <c r="K56" s="1909"/>
    </row>
    <row r="57" spans="1:45" ht="11.25" customHeight="1" x14ac:dyDescent="0.25">
      <c r="A57" s="250" t="str">
        <f t="shared" si="5"/>
        <v>Financial Leases</v>
      </c>
      <c r="B57" s="182"/>
      <c r="C57" s="1908"/>
      <c r="D57" s="1908"/>
      <c r="E57" s="1909"/>
      <c r="F57" s="1910"/>
      <c r="G57" s="1908"/>
      <c r="H57" s="1911"/>
      <c r="I57" s="1912"/>
      <c r="J57" s="1908"/>
      <c r="K57" s="1909"/>
    </row>
    <row r="58" spans="1:45" ht="11.25" customHeight="1" x14ac:dyDescent="0.25">
      <c r="A58" s="250" t="str">
        <f t="shared" si="5"/>
        <v>PPP liabilities</v>
      </c>
      <c r="B58" s="182"/>
      <c r="C58" s="1908"/>
      <c r="D58" s="1908"/>
      <c r="E58" s="1909"/>
      <c r="F58" s="1910"/>
      <c r="G58" s="1908"/>
      <c r="H58" s="1911"/>
      <c r="I58" s="1912"/>
      <c r="J58" s="1908"/>
      <c r="K58" s="1909"/>
    </row>
    <row r="59" spans="1:45" ht="11.25" customHeight="1" x14ac:dyDescent="0.25">
      <c r="A59" s="250" t="str">
        <f t="shared" si="5"/>
        <v>Finance Granted By Cap Equipment Supplier</v>
      </c>
      <c r="B59" s="182"/>
      <c r="C59" s="1908"/>
      <c r="D59" s="1908"/>
      <c r="E59" s="1909"/>
      <c r="F59" s="1910"/>
      <c r="G59" s="1908"/>
      <c r="H59" s="1911"/>
      <c r="I59" s="1912"/>
      <c r="J59" s="1908"/>
      <c r="K59" s="1909"/>
    </row>
    <row r="60" spans="1:45" ht="11.25" customHeight="1" x14ac:dyDescent="0.25">
      <c r="A60" s="250" t="str">
        <f t="shared" si="5"/>
        <v>Marketable Bonds</v>
      </c>
      <c r="B60" s="182"/>
      <c r="C60" s="1908"/>
      <c r="D60" s="1908"/>
      <c r="E60" s="1909"/>
      <c r="F60" s="1910"/>
      <c r="G60" s="1908"/>
      <c r="H60" s="1911"/>
      <c r="I60" s="1912"/>
      <c r="J60" s="1908"/>
      <c r="K60" s="1909"/>
    </row>
    <row r="61" spans="1:45" ht="11.25" customHeight="1" x14ac:dyDescent="0.25">
      <c r="A61" s="250" t="str">
        <f t="shared" si="5"/>
        <v>Non-Marketable Bonds</v>
      </c>
      <c r="B61" s="182"/>
      <c r="C61" s="1908"/>
      <c r="D61" s="1908"/>
      <c r="E61" s="1909"/>
      <c r="F61" s="1910"/>
      <c r="G61" s="1908"/>
      <c r="H61" s="1911"/>
      <c r="I61" s="1912"/>
      <c r="J61" s="1908"/>
      <c r="K61" s="1909"/>
    </row>
    <row r="62" spans="1:45" ht="11.25" customHeight="1" x14ac:dyDescent="0.25">
      <c r="A62" s="250" t="str">
        <f t="shared" si="5"/>
        <v>Bankers Acceptances</v>
      </c>
      <c r="B62" s="182"/>
      <c r="C62" s="1908"/>
      <c r="D62" s="1908"/>
      <c r="E62" s="1909"/>
      <c r="F62" s="1910"/>
      <c r="G62" s="1908"/>
      <c r="H62" s="1911"/>
      <c r="I62" s="1912"/>
      <c r="J62" s="1908"/>
      <c r="K62" s="1909"/>
    </row>
    <row r="63" spans="1:45" ht="11.25" customHeight="1" x14ac:dyDescent="0.25">
      <c r="A63" s="250" t="str">
        <f t="shared" si="5"/>
        <v>Financial derivatives</v>
      </c>
      <c r="B63" s="182"/>
      <c r="C63" s="1908"/>
      <c r="D63" s="1908"/>
      <c r="E63" s="1909"/>
      <c r="F63" s="1910"/>
      <c r="G63" s="1908"/>
      <c r="H63" s="1911"/>
      <c r="I63" s="1912"/>
      <c r="J63" s="1908"/>
      <c r="K63" s="1909"/>
    </row>
    <row r="64" spans="1:45" ht="11.25" customHeight="1" x14ac:dyDescent="0.25">
      <c r="A64" s="250" t="str">
        <f t="shared" si="5"/>
        <v>Other Securities</v>
      </c>
      <c r="B64" s="182"/>
      <c r="C64" s="1908"/>
      <c r="D64" s="1908"/>
      <c r="E64" s="1909"/>
      <c r="F64" s="1910"/>
      <c r="G64" s="1908"/>
      <c r="H64" s="1911"/>
      <c r="I64" s="1912"/>
      <c r="J64" s="1908"/>
      <c r="K64" s="1909"/>
    </row>
    <row r="65" spans="1:11" ht="11.25" customHeight="1" x14ac:dyDescent="0.25">
      <c r="A65" s="265" t="s">
        <v>176</v>
      </c>
      <c r="B65" s="182">
        <v>1</v>
      </c>
      <c r="C65" s="717">
        <f>SUM(C53:C64)</f>
        <v>0</v>
      </c>
      <c r="D65" s="717">
        <f t="shared" ref="D65:K65" si="6">SUM(D53:D64)</f>
        <v>0</v>
      </c>
      <c r="E65" s="718">
        <f t="shared" si="6"/>
        <v>0</v>
      </c>
      <c r="F65" s="719">
        <f t="shared" si="6"/>
        <v>0</v>
      </c>
      <c r="G65" s="717">
        <f t="shared" si="6"/>
        <v>0</v>
      </c>
      <c r="H65" s="720">
        <f t="shared" si="6"/>
        <v>0</v>
      </c>
      <c r="I65" s="721">
        <f t="shared" si="6"/>
        <v>0</v>
      </c>
      <c r="J65" s="717">
        <f t="shared" si="6"/>
        <v>0</v>
      </c>
      <c r="K65" s="718">
        <f t="shared" si="6"/>
        <v>0</v>
      </c>
    </row>
    <row r="66" spans="1:11" ht="11.25" customHeight="1" x14ac:dyDescent="0.25">
      <c r="A66" s="273"/>
      <c r="B66" s="182"/>
      <c r="C66" s="715"/>
      <c r="D66" s="715"/>
      <c r="E66" s="711"/>
      <c r="F66" s="712"/>
      <c r="G66" s="715"/>
      <c r="H66" s="713"/>
      <c r="I66" s="716"/>
      <c r="J66" s="715"/>
      <c r="K66" s="711"/>
    </row>
    <row r="67" spans="1:11" ht="11.25" customHeight="1" x14ac:dyDescent="0.25">
      <c r="A67" s="281" t="s">
        <v>2200</v>
      </c>
      <c r="B67" s="225">
        <v>1</v>
      </c>
      <c r="C67" s="728">
        <f>C50+C65</f>
        <v>570128738</v>
      </c>
      <c r="D67" s="728">
        <f t="shared" ref="D67:K67" si="7">D50+D65</f>
        <v>518941953</v>
      </c>
      <c r="E67" s="729">
        <f t="shared" si="7"/>
        <v>44526158.25</v>
      </c>
      <c r="F67" s="730">
        <f t="shared" si="7"/>
        <v>647309128</v>
      </c>
      <c r="G67" s="728">
        <f t="shared" si="7"/>
        <v>0</v>
      </c>
      <c r="H67" s="731">
        <f t="shared" si="7"/>
        <v>647309128</v>
      </c>
      <c r="I67" s="732">
        <f t="shared" si="7"/>
        <v>573000000</v>
      </c>
      <c r="J67" s="728">
        <f t="shared" si="7"/>
        <v>503000000</v>
      </c>
      <c r="K67" s="729">
        <f t="shared" si="7"/>
        <v>430000000</v>
      </c>
    </row>
    <row r="68" spans="1:11" ht="11.25" customHeight="1" x14ac:dyDescent="0.25">
      <c r="A68" s="246"/>
      <c r="B68" s="236"/>
      <c r="C68" s="309"/>
      <c r="D68" s="309"/>
      <c r="E68" s="309"/>
      <c r="F68" s="309"/>
      <c r="G68" s="309"/>
      <c r="H68" s="309"/>
      <c r="I68" s="309"/>
      <c r="J68" s="309"/>
      <c r="K68" s="309"/>
    </row>
    <row r="69" spans="1:11" ht="11.25" customHeight="1" x14ac:dyDescent="0.25">
      <c r="A69" s="235" t="str">
        <f>head27a</f>
        <v>References</v>
      </c>
      <c r="B69" s="236"/>
      <c r="C69" s="309"/>
      <c r="D69" s="309"/>
      <c r="E69" s="309"/>
      <c r="F69" s="309"/>
      <c r="G69" s="309"/>
      <c r="H69" s="309"/>
      <c r="I69" s="309"/>
      <c r="J69" s="309"/>
      <c r="K69" s="309"/>
    </row>
    <row r="70" spans="1:11" ht="11.25" customHeight="1" x14ac:dyDescent="0.25">
      <c r="A70" s="287" t="s">
        <v>1276</v>
      </c>
      <c r="B70" s="236"/>
      <c r="C70" s="241"/>
      <c r="D70" s="240"/>
      <c r="E70" s="241"/>
      <c r="F70" s="241"/>
      <c r="G70" s="241"/>
      <c r="H70" s="241"/>
      <c r="I70" s="241"/>
      <c r="J70" s="241"/>
      <c r="K70" s="241"/>
    </row>
    <row r="71" spans="1:11" ht="11.25" customHeight="1" x14ac:dyDescent="0.25">
      <c r="A71" s="288" t="s">
        <v>556</v>
      </c>
      <c r="B71" s="236"/>
      <c r="C71" s="438">
        <f>C34-'A6-FinPos'!C37</f>
        <v>0</v>
      </c>
      <c r="D71" s="438">
        <f>D34-'A6-FinPos'!D37</f>
        <v>0</v>
      </c>
      <c r="E71" s="438">
        <f>E34-'A6-FinPos'!E37</f>
        <v>0</v>
      </c>
      <c r="F71" s="438">
        <f>F34-'A6-FinPos'!F37</f>
        <v>0</v>
      </c>
      <c r="G71" s="438">
        <f>G34-'A6-FinPos'!G37</f>
        <v>0</v>
      </c>
      <c r="H71" s="438">
        <f>H34-'A6-FinPos'!H37</f>
        <v>0</v>
      </c>
      <c r="I71" s="438">
        <f>I34-'A6-FinPos'!J37</f>
        <v>0</v>
      </c>
      <c r="J71" s="438">
        <f>J34-'A6-FinPos'!K37</f>
        <v>0</v>
      </c>
      <c r="K71" s="438">
        <f>K34-'A6-FinPos'!L37</f>
        <v>0</v>
      </c>
    </row>
    <row r="72" spans="1:11" ht="11.25" customHeight="1" x14ac:dyDescent="0.25">
      <c r="F72" s="310"/>
    </row>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enableFormatConditionsCalculation="0">
    <tabColor indexed="42"/>
    <pageSetUpPr fitToPage="1"/>
  </sheetPr>
  <dimension ref="A1:O94"/>
  <sheetViews>
    <sheetView showGridLines="0" view="pageBreakPreview" zoomScaleNormal="100" zoomScaleSheetLayoutView="100" workbookViewId="0">
      <pane xSplit="2" ySplit="3" topLeftCell="C46" activePane="bottomRight" state="frozen"/>
      <selection pane="topRight"/>
      <selection pane="bottomLeft"/>
      <selection pane="bottomRight" activeCell="I53" sqref="I53"/>
    </sheetView>
  </sheetViews>
  <sheetFormatPr defaultColWidth="9.1796875" defaultRowHeight="10.5" x14ac:dyDescent="0.25"/>
  <cols>
    <col min="1" max="1" width="30.7265625" style="149" customWidth="1"/>
    <col min="2" max="2" width="3" style="247" customWidth="1"/>
    <col min="3" max="11" width="9.26953125" style="149" customWidth="1"/>
    <col min="12" max="12" width="9.81640625" style="149" customWidth="1"/>
    <col min="13" max="13" width="9.54296875" style="149" customWidth="1"/>
    <col min="14" max="14" width="9.81640625" style="149" customWidth="1"/>
    <col min="15" max="17" width="9.54296875" style="149" customWidth="1"/>
    <col min="18" max="18" width="9.81640625" style="149" customWidth="1"/>
    <col min="19" max="21" width="9.54296875" style="149" customWidth="1"/>
    <col min="22" max="23" width="9.81640625" style="149" customWidth="1"/>
    <col min="24" max="16384" width="9.1796875" style="149"/>
  </cols>
  <sheetData>
    <row r="1" spans="1:12" ht="13.5" customHeight="1" x14ac:dyDescent="0.3">
      <c r="A1" s="147" t="str">
        <f>muni&amp;" - "&amp; TableA18</f>
        <v>KZN225 Msunduzi - Supporting Table SA18 Transfers and grant receipts</v>
      </c>
      <c r="B1" s="147"/>
      <c r="C1" s="147"/>
      <c r="D1" s="147"/>
      <c r="E1" s="147"/>
      <c r="F1" s="147"/>
      <c r="G1" s="147"/>
      <c r="H1" s="147"/>
      <c r="I1" s="147"/>
      <c r="J1" s="147"/>
      <c r="K1" s="147"/>
    </row>
    <row r="2" spans="1:12" ht="28.5" customHeight="1" x14ac:dyDescent="0.25">
      <c r="A2" s="985" t="str">
        <f>desc</f>
        <v>Description</v>
      </c>
      <c r="B2" s="419" t="str">
        <f>head27</f>
        <v>Ref</v>
      </c>
      <c r="C2" s="150" t="str">
        <f>head1b</f>
        <v>2009/10</v>
      </c>
      <c r="D2" s="756" t="str">
        <f>head1A</f>
        <v>2010/11</v>
      </c>
      <c r="E2" s="146" t="str">
        <f>Head1</f>
        <v>2011/12</v>
      </c>
      <c r="F2" s="2677" t="str">
        <f>Head2</f>
        <v>Current Year 2012/13</v>
      </c>
      <c r="G2" s="2678"/>
      <c r="H2" s="2682"/>
      <c r="I2" s="2674" t="str">
        <f>Head3</f>
        <v>2013/14 Medium Term Revenue &amp; Expenditure Framework</v>
      </c>
      <c r="J2" s="2675"/>
      <c r="K2" s="2676"/>
    </row>
    <row r="3" spans="1:12" ht="21" x14ac:dyDescent="0.25">
      <c r="A3" s="180" t="s">
        <v>665</v>
      </c>
      <c r="B3" s="990"/>
      <c r="C3" s="390" t="str">
        <f>Head5</f>
        <v>Audited Outcome</v>
      </c>
      <c r="D3" s="999" t="str">
        <f>Head5</f>
        <v>Audited Outcome</v>
      </c>
      <c r="E3" s="391" t="str">
        <f>Head5</f>
        <v>Audited Outcome</v>
      </c>
      <c r="F3" s="299" t="str">
        <f>Head6</f>
        <v>Original Budget</v>
      </c>
      <c r="G3" s="390" t="str">
        <f>Head7</f>
        <v>Adjusted Budget</v>
      </c>
      <c r="H3" s="391" t="str">
        <f>Head8</f>
        <v>Full Year Forecast</v>
      </c>
      <c r="I3" s="299" t="str">
        <f>Head9</f>
        <v>Budget Year 2013/14</v>
      </c>
      <c r="J3" s="390" t="str">
        <f>Head10</f>
        <v>Budget Year +1 2014/15</v>
      </c>
      <c r="K3" s="391" t="str">
        <f>Head11</f>
        <v>Budget Year +2 2015/16</v>
      </c>
    </row>
    <row r="4" spans="1:12" ht="11.25" customHeight="1" x14ac:dyDescent="0.25">
      <c r="A4" s="265" t="s">
        <v>1277</v>
      </c>
      <c r="B4" s="749" t="s">
        <v>1524</v>
      </c>
      <c r="C4" s="757"/>
      <c r="D4" s="757"/>
      <c r="E4" s="758"/>
      <c r="F4" s="759"/>
      <c r="G4" s="757"/>
      <c r="H4" s="760"/>
      <c r="I4" s="761"/>
      <c r="J4" s="757"/>
      <c r="K4" s="758"/>
    </row>
    <row r="5" spans="1:12" ht="5.15" customHeight="1" x14ac:dyDescent="0.25">
      <c r="A5" s="249"/>
      <c r="B5" s="182"/>
      <c r="C5" s="751"/>
      <c r="D5" s="751"/>
      <c r="E5" s="752"/>
      <c r="F5" s="753"/>
      <c r="G5" s="751"/>
      <c r="H5" s="754"/>
      <c r="I5" s="755"/>
      <c r="J5" s="751"/>
      <c r="K5" s="752"/>
    </row>
    <row r="6" spans="1:12" ht="11.25" customHeight="1" x14ac:dyDescent="0.25">
      <c r="A6" s="249" t="s">
        <v>361</v>
      </c>
      <c r="B6" s="182"/>
      <c r="C6" s="751"/>
      <c r="D6" s="751"/>
      <c r="E6" s="752"/>
      <c r="F6" s="753"/>
      <c r="G6" s="751"/>
      <c r="H6" s="754"/>
      <c r="I6" s="755"/>
      <c r="J6" s="751"/>
      <c r="K6" s="752"/>
    </row>
    <row r="7" spans="1:12" ht="18" customHeight="1" x14ac:dyDescent="0.25">
      <c r="A7" s="373" t="s">
        <v>1023</v>
      </c>
      <c r="B7" s="182"/>
      <c r="C7" s="751">
        <f>SUM(C8:C14)</f>
        <v>203378250</v>
      </c>
      <c r="D7" s="751">
        <f t="shared" ref="D7:K7" si="0">SUM(D8:D14)</f>
        <v>267375455.37</v>
      </c>
      <c r="E7" s="752">
        <f t="shared" si="0"/>
        <v>310326092.08000004</v>
      </c>
      <c r="F7" s="753">
        <f t="shared" si="0"/>
        <v>342704000</v>
      </c>
      <c r="G7" s="751">
        <f t="shared" si="0"/>
        <v>342704000</v>
      </c>
      <c r="H7" s="754">
        <f t="shared" si="0"/>
        <v>342704000</v>
      </c>
      <c r="I7" s="755">
        <f t="shared" si="0"/>
        <v>358627000</v>
      </c>
      <c r="J7" s="751">
        <f t="shared" si="0"/>
        <v>376211000</v>
      </c>
      <c r="K7" s="752">
        <f t="shared" si="0"/>
        <v>395917000</v>
      </c>
    </row>
    <row r="8" spans="1:12" ht="11.25" customHeight="1" x14ac:dyDescent="0.25">
      <c r="A8" s="1271" t="s">
        <v>1927</v>
      </c>
      <c r="B8" s="182" t="str">
        <f t="shared" ref="B8:B13" si="1">IF(A8="  Levy replacement",3,"")</f>
        <v/>
      </c>
      <c r="C8" s="1918">
        <v>199824000</v>
      </c>
      <c r="D8" s="1918">
        <v>267210613</v>
      </c>
      <c r="E8" s="1919">
        <f>'SA19'!E8</f>
        <v>304835000</v>
      </c>
      <c r="F8" s="1922">
        <v>338903000</v>
      </c>
      <c r="G8" s="1922">
        <v>338903000</v>
      </c>
      <c r="H8" s="1922">
        <v>338903000</v>
      </c>
      <c r="I8" s="1918">
        <v>354313000</v>
      </c>
      <c r="J8" s="1919">
        <v>373677000</v>
      </c>
      <c r="K8" s="1919">
        <v>393300000</v>
      </c>
    </row>
    <row r="9" spans="1:12" ht="11.25" customHeight="1" x14ac:dyDescent="0.25">
      <c r="A9" s="1917" t="s">
        <v>1925</v>
      </c>
      <c r="B9" s="182" t="str">
        <f t="shared" si="1"/>
        <v/>
      </c>
      <c r="C9" s="1908">
        <v>750000</v>
      </c>
      <c r="D9" s="1908">
        <v>164842.37</v>
      </c>
      <c r="E9" s="1909">
        <f>'SA19'!E9</f>
        <v>1979465.94</v>
      </c>
      <c r="F9" s="1912">
        <v>1500000</v>
      </c>
      <c r="G9" s="1912">
        <v>1500000</v>
      </c>
      <c r="H9" s="1912">
        <v>1500000</v>
      </c>
      <c r="I9" s="1908">
        <f>1550000</f>
        <v>1550000</v>
      </c>
      <c r="J9" s="1909">
        <v>1600000</v>
      </c>
      <c r="K9" s="1909">
        <v>1650000</v>
      </c>
    </row>
    <row r="10" spans="1:12" ht="11.25" customHeight="1" x14ac:dyDescent="0.25">
      <c r="A10" s="1917" t="s">
        <v>1924</v>
      </c>
      <c r="B10" s="182" t="str">
        <f t="shared" si="1"/>
        <v/>
      </c>
      <c r="C10" s="1908">
        <v>400000</v>
      </c>
      <c r="D10" s="1908"/>
      <c r="E10" s="1909">
        <f>'SA19'!E10</f>
        <v>977632.6</v>
      </c>
      <c r="F10" s="1912">
        <v>800000</v>
      </c>
      <c r="G10" s="1912">
        <v>800000</v>
      </c>
      <c r="H10" s="1912">
        <v>800000</v>
      </c>
      <c r="I10" s="1908">
        <f>890000</f>
        <v>890000</v>
      </c>
      <c r="J10" s="1909">
        <v>934000</v>
      </c>
      <c r="K10" s="1909">
        <v>967000</v>
      </c>
    </row>
    <row r="11" spans="1:12" ht="11.25" customHeight="1" x14ac:dyDescent="0.25">
      <c r="A11" s="1917" t="s">
        <v>1915</v>
      </c>
      <c r="B11" s="182" t="str">
        <f t="shared" si="1"/>
        <v/>
      </c>
      <c r="C11" s="1908"/>
      <c r="D11" s="1908"/>
      <c r="E11" s="1909"/>
      <c r="F11" s="1912">
        <v>1501000</v>
      </c>
      <c r="G11" s="1912">
        <v>1501000</v>
      </c>
      <c r="H11" s="1912">
        <v>1501000</v>
      </c>
      <c r="I11" s="1908">
        <v>1874000</v>
      </c>
      <c r="J11" s="1909"/>
      <c r="K11" s="1909"/>
    </row>
    <row r="12" spans="1:12" ht="11.25" customHeight="1" x14ac:dyDescent="0.25">
      <c r="A12" s="1917" t="s">
        <v>1914</v>
      </c>
      <c r="B12" s="182" t="str">
        <f t="shared" si="1"/>
        <v/>
      </c>
      <c r="C12" s="1908">
        <v>2404250</v>
      </c>
      <c r="D12" s="1908"/>
      <c r="E12" s="1909">
        <v>2533993.54</v>
      </c>
      <c r="F12" s="1910"/>
      <c r="G12" s="1910"/>
      <c r="H12" s="1911"/>
      <c r="I12" s="1908">
        <v>0</v>
      </c>
      <c r="J12" s="1909">
        <v>0</v>
      </c>
      <c r="K12" s="1909">
        <v>0</v>
      </c>
    </row>
    <row r="13" spans="1:12" ht="11.25" customHeight="1" x14ac:dyDescent="0.25">
      <c r="A13" s="1917" t="s">
        <v>1904</v>
      </c>
      <c r="B13" s="182" t="str">
        <f t="shared" si="1"/>
        <v/>
      </c>
      <c r="C13" s="1908"/>
      <c r="D13" s="1908"/>
      <c r="E13" s="1909"/>
      <c r="F13" s="1910"/>
      <c r="G13" s="1910"/>
      <c r="H13" s="1911"/>
      <c r="I13" s="1908"/>
      <c r="J13" s="1909"/>
      <c r="K13" s="1909"/>
    </row>
    <row r="14" spans="1:12" ht="18" customHeight="1" x14ac:dyDescent="0.25">
      <c r="A14" s="1917" t="s">
        <v>1236</v>
      </c>
      <c r="B14" s="182"/>
      <c r="C14" s="1923"/>
      <c r="D14" s="1923"/>
      <c r="E14" s="1924"/>
      <c r="F14" s="1925"/>
      <c r="G14" s="1925"/>
      <c r="H14" s="1926"/>
      <c r="I14" s="1923"/>
      <c r="J14" s="1924"/>
      <c r="K14" s="1924"/>
    </row>
    <row r="15" spans="1:12" ht="18" customHeight="1" x14ac:dyDescent="0.25">
      <c r="A15" s="373" t="s">
        <v>1024</v>
      </c>
      <c r="B15" s="182"/>
      <c r="C15" s="751">
        <f>SUM(C16:C24)</f>
        <v>10547915</v>
      </c>
      <c r="D15" s="751">
        <f t="shared" ref="D15:K15" si="2">SUM(D16:D24)</f>
        <v>33466819.009999998</v>
      </c>
      <c r="E15" s="752">
        <f t="shared" si="2"/>
        <v>4074253.8499999996</v>
      </c>
      <c r="F15" s="753">
        <f t="shared" si="2"/>
        <v>22500000</v>
      </c>
      <c r="G15" s="751">
        <f t="shared" si="2"/>
        <v>22500000</v>
      </c>
      <c r="H15" s="754">
        <f t="shared" si="2"/>
        <v>22500000</v>
      </c>
      <c r="I15" s="755">
        <f t="shared" si="2"/>
        <v>47573000</v>
      </c>
      <c r="J15" s="751">
        <f t="shared" si="2"/>
        <v>48099000</v>
      </c>
      <c r="K15" s="752">
        <f t="shared" si="2"/>
        <v>0</v>
      </c>
      <c r="L15" s="370"/>
    </row>
    <row r="16" spans="1:12" ht="11.25" customHeight="1" x14ac:dyDescent="0.25">
      <c r="A16" s="1917" t="s">
        <v>1928</v>
      </c>
      <c r="B16" s="182" t="str">
        <f>IF(A16="  Housing",4,"")</f>
        <v/>
      </c>
      <c r="C16" s="1918">
        <v>9160915</v>
      </c>
      <c r="D16" s="1918"/>
      <c r="E16" s="1919">
        <v>0</v>
      </c>
      <c r="F16" s="1920"/>
      <c r="G16" s="1920"/>
      <c r="H16" s="1920"/>
      <c r="I16" s="1918"/>
      <c r="J16" s="1919"/>
      <c r="K16" s="1919"/>
      <c r="L16" s="370"/>
    </row>
    <row r="17" spans="1:12" ht="11.25" customHeight="1" x14ac:dyDescent="0.25">
      <c r="A17" s="1917" t="s">
        <v>1024</v>
      </c>
      <c r="B17" s="182" t="str">
        <f>IF(A17="  Housing",4,"")</f>
        <v/>
      </c>
      <c r="C17" s="1908"/>
      <c r="D17" s="1908">
        <v>20978593</v>
      </c>
      <c r="E17" s="1909">
        <v>1206538.05</v>
      </c>
      <c r="F17" s="1910"/>
      <c r="G17" s="1910"/>
      <c r="H17" s="1910"/>
      <c r="I17" s="1908"/>
      <c r="J17" s="1909"/>
      <c r="K17" s="1909"/>
      <c r="L17" s="370"/>
    </row>
    <row r="18" spans="1:12" ht="11.25" customHeight="1" x14ac:dyDescent="0.25">
      <c r="A18" s="1917" t="s">
        <v>1928</v>
      </c>
      <c r="B18" s="182"/>
      <c r="C18" s="1908"/>
      <c r="D18" s="1908"/>
      <c r="E18" s="1909">
        <v>0</v>
      </c>
      <c r="F18" s="1910"/>
      <c r="G18" s="1910"/>
      <c r="H18" s="1910"/>
      <c r="I18" s="1908"/>
      <c r="J18" s="1909"/>
      <c r="K18" s="1909"/>
      <c r="L18" s="370"/>
    </row>
    <row r="19" spans="1:12" ht="11.25" customHeight="1" x14ac:dyDescent="0.25">
      <c r="A19" s="1917" t="s">
        <v>2306</v>
      </c>
      <c r="B19" s="182"/>
      <c r="C19" s="1908"/>
      <c r="D19" s="1908"/>
      <c r="E19" s="1909">
        <v>2867715.8</v>
      </c>
      <c r="F19" s="1910"/>
      <c r="G19" s="1910"/>
      <c r="H19" s="1910"/>
      <c r="I19" s="1908"/>
      <c r="J19" s="1909"/>
      <c r="K19" s="1909"/>
      <c r="L19" s="370"/>
    </row>
    <row r="20" spans="1:12" ht="11.25" customHeight="1" x14ac:dyDescent="0.25">
      <c r="A20" s="1917" t="s">
        <v>2307</v>
      </c>
      <c r="B20" s="182" t="str">
        <f>IF(A20="  Housing",4,"")</f>
        <v/>
      </c>
      <c r="C20" s="1908">
        <v>1387000</v>
      </c>
      <c r="D20" s="1908"/>
      <c r="E20" s="1909"/>
      <c r="F20" s="1910"/>
      <c r="G20" s="1910"/>
      <c r="H20" s="1910"/>
      <c r="I20" s="1908"/>
      <c r="J20" s="1909"/>
      <c r="K20" s="1909"/>
      <c r="L20" s="370"/>
    </row>
    <row r="21" spans="1:12" ht="11.25" customHeight="1" x14ac:dyDescent="0.25">
      <c r="A21" s="1917" t="s">
        <v>1786</v>
      </c>
      <c r="B21" s="182"/>
      <c r="C21" s="1908"/>
      <c r="D21" s="1908">
        <v>12488226.01</v>
      </c>
      <c r="E21" s="1909"/>
      <c r="F21" s="1910">
        <v>2537000</v>
      </c>
      <c r="G21" s="1910">
        <v>2537000</v>
      </c>
      <c r="H21" s="1910">
        <v>2537000</v>
      </c>
      <c r="I21" s="1908"/>
      <c r="J21" s="1909"/>
      <c r="K21" s="1909"/>
      <c r="L21" s="370"/>
    </row>
    <row r="22" spans="1:12" ht="11.25" customHeight="1" x14ac:dyDescent="0.25">
      <c r="A22" s="1917" t="s">
        <v>2308</v>
      </c>
      <c r="B22" s="182"/>
      <c r="C22" s="1908"/>
      <c r="D22" s="1908"/>
      <c r="E22" s="1909"/>
      <c r="F22" s="1910">
        <v>9000000</v>
      </c>
      <c r="G22" s="1910">
        <v>9000000</v>
      </c>
      <c r="H22" s="1910">
        <v>9000000</v>
      </c>
      <c r="I22" s="1908">
        <v>26020000</v>
      </c>
      <c r="J22" s="1909">
        <v>25518000</v>
      </c>
      <c r="K22" s="1909"/>
      <c r="L22" s="370"/>
    </row>
    <row r="23" spans="1:12" ht="11.25" customHeight="1" x14ac:dyDescent="0.25">
      <c r="A23" s="1917" t="s">
        <v>2309</v>
      </c>
      <c r="B23" s="182" t="str">
        <f>IF(A23="  Housing",4,"")</f>
        <v/>
      </c>
      <c r="C23" s="1908"/>
      <c r="D23" s="1908"/>
      <c r="E23" s="1909"/>
      <c r="F23" s="1910"/>
      <c r="G23" s="1910"/>
      <c r="H23" s="1910"/>
      <c r="I23" s="1908"/>
      <c r="J23" s="1909"/>
      <c r="K23" s="1909"/>
      <c r="L23" s="370"/>
    </row>
    <row r="24" spans="1:12" ht="11.25" customHeight="1" x14ac:dyDescent="0.25">
      <c r="A24" s="1917" t="s">
        <v>2310</v>
      </c>
      <c r="B24" s="182"/>
      <c r="C24" s="1923"/>
      <c r="D24" s="1923"/>
      <c r="E24" s="1924"/>
      <c r="F24" s="1925">
        <v>10963000</v>
      </c>
      <c r="G24" s="1925">
        <v>10963000</v>
      </c>
      <c r="H24" s="1925">
        <v>10963000</v>
      </c>
      <c r="I24" s="1923">
        <v>21553000</v>
      </c>
      <c r="J24" s="1924">
        <v>22581000</v>
      </c>
      <c r="K24" s="1924">
        <v>0</v>
      </c>
      <c r="L24" s="370"/>
    </row>
    <row r="25" spans="1:12" ht="18" customHeight="1" x14ac:dyDescent="0.25">
      <c r="A25" s="373" t="s">
        <v>1060</v>
      </c>
      <c r="B25" s="182"/>
      <c r="C25" s="751">
        <f>SUM(C26:C27)</f>
        <v>0</v>
      </c>
      <c r="D25" s="751">
        <f t="shared" ref="D25:K25" si="3">SUM(D26:D27)</f>
        <v>0</v>
      </c>
      <c r="E25" s="752">
        <f t="shared" si="3"/>
        <v>0</v>
      </c>
      <c r="F25" s="753">
        <f t="shared" si="3"/>
        <v>0</v>
      </c>
      <c r="G25" s="751">
        <f t="shared" si="3"/>
        <v>0</v>
      </c>
      <c r="H25" s="754">
        <f t="shared" si="3"/>
        <v>0</v>
      </c>
      <c r="I25" s="755">
        <f t="shared" si="3"/>
        <v>0</v>
      </c>
      <c r="J25" s="751">
        <f t="shared" si="3"/>
        <v>0</v>
      </c>
      <c r="K25" s="752">
        <f t="shared" si="3"/>
        <v>0</v>
      </c>
      <c r="L25" s="370"/>
    </row>
    <row r="26" spans="1:12" ht="11.25" customHeight="1" x14ac:dyDescent="0.25">
      <c r="A26" s="1928" t="s">
        <v>1091</v>
      </c>
      <c r="B26" s="182"/>
      <c r="C26" s="1918"/>
      <c r="D26" s="1918"/>
      <c r="E26" s="1919"/>
      <c r="F26" s="1920"/>
      <c r="G26" s="1918"/>
      <c r="H26" s="1921"/>
      <c r="I26" s="1922"/>
      <c r="J26" s="1918"/>
      <c r="K26" s="1919"/>
      <c r="L26" s="370"/>
    </row>
    <row r="27" spans="1:12" ht="11.25" customHeight="1" x14ac:dyDescent="0.25">
      <c r="A27" s="1928"/>
      <c r="B27" s="182"/>
      <c r="C27" s="1923"/>
      <c r="D27" s="1923"/>
      <c r="E27" s="1924"/>
      <c r="F27" s="1925"/>
      <c r="G27" s="1923"/>
      <c r="H27" s="1926"/>
      <c r="I27" s="1927"/>
      <c r="J27" s="1923"/>
      <c r="K27" s="1924"/>
      <c r="L27" s="370"/>
    </row>
    <row r="28" spans="1:12" ht="18" customHeight="1" x14ac:dyDescent="0.25">
      <c r="A28" s="373" t="s">
        <v>587</v>
      </c>
      <c r="B28" s="182"/>
      <c r="C28" s="751">
        <f>SUM(C29:C30)</f>
        <v>0</v>
      </c>
      <c r="D28" s="751">
        <f t="shared" ref="D28:K28" si="4">SUM(D29:D30)</f>
        <v>0</v>
      </c>
      <c r="E28" s="752">
        <f t="shared" si="4"/>
        <v>0</v>
      </c>
      <c r="F28" s="753">
        <f t="shared" si="4"/>
        <v>0</v>
      </c>
      <c r="G28" s="751">
        <f t="shared" si="4"/>
        <v>0</v>
      </c>
      <c r="H28" s="754">
        <f t="shared" si="4"/>
        <v>0</v>
      </c>
      <c r="I28" s="755">
        <f t="shared" si="4"/>
        <v>0</v>
      </c>
      <c r="J28" s="751">
        <f t="shared" si="4"/>
        <v>0</v>
      </c>
      <c r="K28" s="752">
        <f t="shared" si="4"/>
        <v>0</v>
      </c>
      <c r="L28" s="370"/>
    </row>
    <row r="29" spans="1:12" ht="11.25" customHeight="1" x14ac:dyDescent="0.25">
      <c r="A29" s="1928" t="s">
        <v>1091</v>
      </c>
      <c r="B29" s="182"/>
      <c r="C29" s="1918"/>
      <c r="D29" s="1918"/>
      <c r="E29" s="1919"/>
      <c r="F29" s="1920"/>
      <c r="G29" s="1918"/>
      <c r="H29" s="1921"/>
      <c r="I29" s="1922"/>
      <c r="J29" s="1918"/>
      <c r="K29" s="1919"/>
      <c r="L29" s="370"/>
    </row>
    <row r="30" spans="1:12" ht="11.25" customHeight="1" x14ac:dyDescent="0.25">
      <c r="A30" s="1928"/>
      <c r="B30" s="182"/>
      <c r="C30" s="1923"/>
      <c r="D30" s="1923"/>
      <c r="E30" s="1924"/>
      <c r="F30" s="1925"/>
      <c r="G30" s="1923"/>
      <c r="H30" s="1926"/>
      <c r="I30" s="1927"/>
      <c r="J30" s="1923"/>
      <c r="K30" s="1924"/>
      <c r="L30" s="370"/>
    </row>
    <row r="31" spans="1:12" s="769" customFormat="1" ht="15.75" customHeight="1" x14ac:dyDescent="0.25">
      <c r="A31" s="762" t="s">
        <v>362</v>
      </c>
      <c r="B31" s="763">
        <v>5</v>
      </c>
      <c r="C31" s="764">
        <f>C7+C15+C25+C28</f>
        <v>213926165</v>
      </c>
      <c r="D31" s="764">
        <f t="shared" ref="D31:K31" si="5">D7+D15+D25+D28</f>
        <v>300842274.38</v>
      </c>
      <c r="E31" s="765">
        <f t="shared" si="5"/>
        <v>314400345.93000007</v>
      </c>
      <c r="F31" s="766">
        <f t="shared" si="5"/>
        <v>365204000</v>
      </c>
      <c r="G31" s="764">
        <f t="shared" si="5"/>
        <v>365204000</v>
      </c>
      <c r="H31" s="767">
        <f t="shared" si="5"/>
        <v>365204000</v>
      </c>
      <c r="I31" s="768">
        <f t="shared" si="5"/>
        <v>406200000</v>
      </c>
      <c r="J31" s="764">
        <f t="shared" si="5"/>
        <v>424310000</v>
      </c>
      <c r="K31" s="765">
        <f t="shared" si="5"/>
        <v>395917000</v>
      </c>
      <c r="L31" s="891"/>
    </row>
    <row r="32" spans="1:12" ht="5.15" customHeight="1" x14ac:dyDescent="0.25">
      <c r="A32" s="273"/>
      <c r="B32" s="182"/>
      <c r="C32" s="715"/>
      <c r="D32" s="715"/>
      <c r="E32" s="711"/>
      <c r="F32" s="712"/>
      <c r="G32" s="715"/>
      <c r="H32" s="713"/>
      <c r="I32" s="716"/>
      <c r="J32" s="715"/>
      <c r="K32" s="711"/>
      <c r="L32" s="370"/>
    </row>
    <row r="33" spans="1:15" ht="11.25" customHeight="1" x14ac:dyDescent="0.25">
      <c r="A33" s="249" t="s">
        <v>363</v>
      </c>
      <c r="B33" s="182"/>
      <c r="C33" s="715"/>
      <c r="D33" s="715"/>
      <c r="E33" s="711"/>
      <c r="F33" s="712"/>
      <c r="G33" s="715"/>
      <c r="H33" s="713"/>
      <c r="I33" s="716"/>
      <c r="J33" s="715"/>
      <c r="K33" s="711"/>
      <c r="L33" s="370"/>
    </row>
    <row r="34" spans="1:15" ht="18" customHeight="1" x14ac:dyDescent="0.25">
      <c r="A34" s="373" t="str">
        <f>A7</f>
        <v>National Government:</v>
      </c>
      <c r="B34" s="182"/>
      <c r="C34" s="751">
        <f t="shared" ref="C34:K34" si="6">SUM(C35:C41)</f>
        <v>125648750</v>
      </c>
      <c r="D34" s="751">
        <f t="shared" si="6"/>
        <v>73224882.229999989</v>
      </c>
      <c r="E34" s="752">
        <f t="shared" si="6"/>
        <v>138339833.84</v>
      </c>
      <c r="F34" s="753">
        <f t="shared" si="6"/>
        <v>208599000</v>
      </c>
      <c r="G34" s="751">
        <f t="shared" si="6"/>
        <v>160485000</v>
      </c>
      <c r="H34" s="754">
        <f t="shared" si="6"/>
        <v>160485000</v>
      </c>
      <c r="I34" s="755">
        <f t="shared" si="6"/>
        <v>403158405</v>
      </c>
      <c r="J34" s="751">
        <f t="shared" si="6"/>
        <v>194271000</v>
      </c>
      <c r="K34" s="752">
        <f t="shared" si="6"/>
        <v>192390000</v>
      </c>
      <c r="L34" s="370"/>
    </row>
    <row r="35" spans="1:15" ht="11.25" customHeight="1" x14ac:dyDescent="0.25">
      <c r="A35" s="1917" t="s">
        <v>1923</v>
      </c>
      <c r="B35" s="182"/>
      <c r="C35" s="1918">
        <v>91338750</v>
      </c>
      <c r="D35" s="1918">
        <v>48348281</v>
      </c>
      <c r="E35" s="1919">
        <v>138339833.84</v>
      </c>
      <c r="F35" s="1920">
        <v>153399000</v>
      </c>
      <c r="G35" s="1920">
        <v>150170000</v>
      </c>
      <c r="H35" s="1920">
        <v>150170000</v>
      </c>
      <c r="I35" s="1918">
        <v>151312405</v>
      </c>
      <c r="J35" s="1919">
        <v>159271000</v>
      </c>
      <c r="K35" s="1919">
        <v>170390000</v>
      </c>
      <c r="L35" s="370"/>
    </row>
    <row r="36" spans="1:15" ht="11.25" customHeight="1" x14ac:dyDescent="0.25">
      <c r="A36" s="1917" t="s">
        <v>1922</v>
      </c>
      <c r="B36" s="182"/>
      <c r="C36" s="1908">
        <v>7737000</v>
      </c>
      <c r="D36" s="1908">
        <v>11662591</v>
      </c>
      <c r="E36" s="1909"/>
      <c r="F36" s="1910">
        <v>45000000</v>
      </c>
      <c r="G36" s="1910">
        <v>0</v>
      </c>
      <c r="H36" s="1910">
        <v>0</v>
      </c>
      <c r="I36" s="1908">
        <v>100846000</v>
      </c>
      <c r="J36" s="1909">
        <v>0</v>
      </c>
      <c r="K36" s="1909">
        <v>0</v>
      </c>
      <c r="L36" s="370"/>
    </row>
    <row r="37" spans="1:15" ht="11.25" customHeight="1" x14ac:dyDescent="0.25">
      <c r="A37" s="1917" t="s">
        <v>1909</v>
      </c>
      <c r="B37" s="182"/>
      <c r="C37" s="1908"/>
      <c r="D37" s="1908"/>
      <c r="E37" s="1909"/>
      <c r="F37" s="1910">
        <v>700000</v>
      </c>
      <c r="G37" s="1910">
        <v>70000</v>
      </c>
      <c r="H37" s="1910">
        <v>70000</v>
      </c>
      <c r="I37" s="1908"/>
      <c r="J37" s="1909"/>
      <c r="K37" s="1909"/>
      <c r="L37" s="370"/>
    </row>
    <row r="38" spans="1:15" ht="11.25" customHeight="1" x14ac:dyDescent="0.25">
      <c r="A38" s="1917" t="s">
        <v>1912</v>
      </c>
      <c r="B38" s="182"/>
      <c r="C38" s="1908"/>
      <c r="D38" s="1908"/>
      <c r="E38" s="1909"/>
      <c r="F38" s="1910">
        <v>4500000</v>
      </c>
      <c r="G38" s="1910">
        <v>0</v>
      </c>
      <c r="H38" s="1910">
        <v>0</v>
      </c>
      <c r="I38" s="1908"/>
      <c r="J38" s="1909"/>
      <c r="K38" s="1909"/>
      <c r="L38" s="370"/>
    </row>
    <row r="39" spans="1:15" ht="11.25" customHeight="1" x14ac:dyDescent="0.25">
      <c r="A39" s="1917" t="s">
        <v>2311</v>
      </c>
      <c r="B39" s="182"/>
      <c r="C39" s="1908"/>
      <c r="D39" s="1908">
        <v>3756830.23</v>
      </c>
      <c r="E39" s="1909"/>
      <c r="F39" s="1910"/>
      <c r="G39" s="1910">
        <v>5000000</v>
      </c>
      <c r="H39" s="1910">
        <v>5000000</v>
      </c>
      <c r="I39" s="1908">
        <v>8000000</v>
      </c>
      <c r="J39" s="1909">
        <v>5000000</v>
      </c>
      <c r="K39" s="1909">
        <v>10000000</v>
      </c>
      <c r="L39" s="370"/>
    </row>
    <row r="40" spans="1:15" ht="11.25" customHeight="1" x14ac:dyDescent="0.25">
      <c r="A40" s="1917" t="s">
        <v>2312</v>
      </c>
      <c r="B40" s="182"/>
      <c r="C40" s="1908"/>
      <c r="D40" s="1908"/>
      <c r="E40" s="1909"/>
      <c r="F40" s="1910">
        <v>5000000</v>
      </c>
      <c r="G40" s="1910">
        <v>5000000</v>
      </c>
      <c r="H40" s="1910">
        <v>5000000</v>
      </c>
      <c r="I40" s="1908">
        <v>143000000</v>
      </c>
      <c r="J40" s="1909">
        <v>30000000</v>
      </c>
      <c r="K40" s="1909">
        <v>12000000</v>
      </c>
      <c r="L40" s="370"/>
    </row>
    <row r="41" spans="1:15" ht="11.25" customHeight="1" x14ac:dyDescent="0.25">
      <c r="A41" s="1917" t="s">
        <v>1621</v>
      </c>
      <c r="B41" s="182"/>
      <c r="C41" s="1908">
        <v>26573000</v>
      </c>
      <c r="D41" s="1908">
        <v>9457180</v>
      </c>
      <c r="E41" s="1909"/>
      <c r="F41" s="1910"/>
      <c r="G41" s="1910">
        <v>245000</v>
      </c>
      <c r="H41" s="1910">
        <v>245000</v>
      </c>
      <c r="I41" s="1908"/>
      <c r="J41" s="1909"/>
      <c r="K41" s="1909"/>
      <c r="L41" s="370"/>
    </row>
    <row r="42" spans="1:15" ht="18" customHeight="1" x14ac:dyDescent="0.25">
      <c r="A42" s="770" t="str">
        <f>A15</f>
        <v>Provincial Government:</v>
      </c>
      <c r="B42" s="182"/>
      <c r="C42" s="751">
        <f>SUM(C43)</f>
        <v>0</v>
      </c>
      <c r="D42" s="751">
        <f t="shared" ref="D42:K42" si="7">SUM(D43)</f>
        <v>11429203</v>
      </c>
      <c r="E42" s="752">
        <f t="shared" si="7"/>
        <v>11835937.140000001</v>
      </c>
      <c r="F42" s="753">
        <f>SUM(F43:F46)</f>
        <v>21415000</v>
      </c>
      <c r="G42" s="751">
        <f>SUM(G43+G44+G45+G4646+G46)</f>
        <v>56233734</v>
      </c>
      <c r="H42" s="751">
        <f>SUM(H43+H44+H45+H4646+H46)</f>
        <v>56233734</v>
      </c>
      <c r="I42" s="755">
        <f>SUM(I46+I45)</f>
        <v>12500000</v>
      </c>
      <c r="J42" s="751">
        <f t="shared" si="7"/>
        <v>0</v>
      </c>
      <c r="K42" s="752">
        <f t="shared" si="7"/>
        <v>0</v>
      </c>
      <c r="L42" s="370"/>
      <c r="O42" s="370"/>
    </row>
    <row r="43" spans="1:15" x14ac:dyDescent="0.25">
      <c r="A43" s="1929" t="s">
        <v>2313</v>
      </c>
      <c r="B43" s="182"/>
      <c r="C43" s="1930"/>
      <c r="D43" s="1930">
        <v>11429203</v>
      </c>
      <c r="E43" s="1931">
        <v>11835937.140000001</v>
      </c>
      <c r="F43" s="1932">
        <v>19315000</v>
      </c>
      <c r="G43" s="1932">
        <v>16760000</v>
      </c>
      <c r="H43" s="1932">
        <v>16760000</v>
      </c>
      <c r="I43" s="1930">
        <v>0</v>
      </c>
      <c r="J43" s="1931">
        <v>0</v>
      </c>
      <c r="K43" s="1931"/>
      <c r="L43" s="370"/>
    </row>
    <row r="44" spans="1:15" x14ac:dyDescent="0.25">
      <c r="A44" s="1929" t="s">
        <v>1921</v>
      </c>
      <c r="B44" s="182"/>
      <c r="C44" s="1908"/>
      <c r="D44" s="1908"/>
      <c r="E44" s="1909"/>
      <c r="F44" s="1910">
        <v>2100000</v>
      </c>
      <c r="G44" s="1910">
        <v>2100000</v>
      </c>
      <c r="H44" s="1910">
        <v>2100000</v>
      </c>
      <c r="I44" s="1908"/>
      <c r="J44" s="1909"/>
      <c r="K44" s="1909"/>
      <c r="L44" s="370"/>
    </row>
    <row r="45" spans="1:15" x14ac:dyDescent="0.25">
      <c r="A45" s="1929" t="s">
        <v>2467</v>
      </c>
      <c r="B45" s="182"/>
      <c r="C45" s="1908"/>
      <c r="D45" s="1908"/>
      <c r="E45" s="1909"/>
      <c r="F45" s="1910"/>
      <c r="G45" s="1911">
        <v>37289058</v>
      </c>
      <c r="H45" s="1911">
        <v>37289058</v>
      </c>
      <c r="I45" s="1908">
        <v>12500000</v>
      </c>
      <c r="J45" s="1909">
        <v>0</v>
      </c>
      <c r="K45" s="1909">
        <v>0</v>
      </c>
      <c r="L45" s="370"/>
    </row>
    <row r="46" spans="1:15" x14ac:dyDescent="0.25">
      <c r="A46" s="1929" t="s">
        <v>2468</v>
      </c>
      <c r="B46" s="182"/>
      <c r="C46" s="1908"/>
      <c r="D46" s="1908"/>
      <c r="E46" s="1909"/>
      <c r="F46" s="1910"/>
      <c r="G46" s="1911">
        <v>84676</v>
      </c>
      <c r="H46" s="1911">
        <v>84676</v>
      </c>
      <c r="I46" s="1908"/>
      <c r="J46" s="1909"/>
      <c r="K46" s="1909"/>
      <c r="L46" s="370"/>
    </row>
    <row r="47" spans="1:15" ht="18" customHeight="1" x14ac:dyDescent="0.25">
      <c r="A47" s="373" t="str">
        <f>A25</f>
        <v>District Municipality:</v>
      </c>
      <c r="B47" s="182"/>
      <c r="C47" s="751">
        <f t="shared" ref="C47:K47" si="8">SUM(C48:C49)</f>
        <v>0</v>
      </c>
      <c r="D47" s="751">
        <f t="shared" si="8"/>
        <v>0</v>
      </c>
      <c r="E47" s="752">
        <f t="shared" si="8"/>
        <v>0</v>
      </c>
      <c r="F47" s="753">
        <f t="shared" si="8"/>
        <v>0</v>
      </c>
      <c r="G47" s="751">
        <v>0</v>
      </c>
      <c r="H47" s="754">
        <f t="shared" si="8"/>
        <v>0</v>
      </c>
      <c r="I47" s="755">
        <f t="shared" si="8"/>
        <v>0</v>
      </c>
      <c r="J47" s="751">
        <f t="shared" si="8"/>
        <v>0</v>
      </c>
      <c r="K47" s="752">
        <f t="shared" si="8"/>
        <v>0</v>
      </c>
      <c r="L47" s="370"/>
    </row>
    <row r="48" spans="1:15" ht="11.25" customHeight="1" x14ac:dyDescent="0.25">
      <c r="A48" s="1928" t="str">
        <f>A26</f>
        <v xml:space="preserve">  [insert description]</v>
      </c>
      <c r="B48" s="182"/>
      <c r="C48" s="1918"/>
      <c r="D48" s="1918"/>
      <c r="E48" s="1919"/>
      <c r="F48" s="1920"/>
      <c r="G48" s="1918"/>
      <c r="H48" s="1921"/>
      <c r="I48" s="1922"/>
      <c r="J48" s="1918"/>
      <c r="K48" s="1919"/>
      <c r="L48" s="370"/>
    </row>
    <row r="49" spans="1:12" ht="11.25" customHeight="1" x14ac:dyDescent="0.25">
      <c r="A49" s="1928"/>
      <c r="B49" s="182"/>
      <c r="C49" s="1923"/>
      <c r="D49" s="1923"/>
      <c r="E49" s="1924"/>
      <c r="F49" s="1925"/>
      <c r="G49" s="1923"/>
      <c r="H49" s="1926"/>
      <c r="I49" s="1927"/>
      <c r="J49" s="1923"/>
      <c r="K49" s="1924"/>
      <c r="L49" s="370"/>
    </row>
    <row r="50" spans="1:12" ht="18" customHeight="1" x14ac:dyDescent="0.25">
      <c r="A50" s="373" t="str">
        <f>A28</f>
        <v>Other grant providers:</v>
      </c>
      <c r="B50" s="182"/>
      <c r="C50" s="751">
        <f>SUM(C51:C52)</f>
        <v>0</v>
      </c>
      <c r="D50" s="751">
        <f t="shared" ref="D50:K50" si="9">SUM(D51:D52)</f>
        <v>0</v>
      </c>
      <c r="E50" s="752">
        <f t="shared" si="9"/>
        <v>0</v>
      </c>
      <c r="F50" s="753">
        <f t="shared" si="9"/>
        <v>0</v>
      </c>
      <c r="G50" s="751">
        <f t="shared" si="9"/>
        <v>135193</v>
      </c>
      <c r="H50" s="754">
        <f t="shared" si="9"/>
        <v>135193</v>
      </c>
      <c r="I50" s="755">
        <f t="shared" si="9"/>
        <v>0</v>
      </c>
      <c r="J50" s="751">
        <f t="shared" si="9"/>
        <v>0</v>
      </c>
      <c r="K50" s="752">
        <f t="shared" si="9"/>
        <v>0</v>
      </c>
      <c r="L50" s="370"/>
    </row>
    <row r="51" spans="1:12" ht="11.25" customHeight="1" x14ac:dyDescent="0.25">
      <c r="A51" s="1928" t="s">
        <v>2469</v>
      </c>
      <c r="B51" s="182"/>
      <c r="C51" s="1918"/>
      <c r="D51" s="1918"/>
      <c r="E51" s="1919"/>
      <c r="F51" s="1920"/>
      <c r="G51" s="1918">
        <v>135193</v>
      </c>
      <c r="H51" s="1921">
        <v>135193</v>
      </c>
      <c r="I51" s="1922"/>
      <c r="J51" s="1918"/>
      <c r="K51" s="1919"/>
      <c r="L51" s="370"/>
    </row>
    <row r="52" spans="1:12" ht="11.25" customHeight="1" x14ac:dyDescent="0.25">
      <c r="A52" s="1928"/>
      <c r="B52" s="182"/>
      <c r="C52" s="1923"/>
      <c r="D52" s="1923"/>
      <c r="E52" s="1924"/>
      <c r="F52" s="1925"/>
      <c r="G52" s="1923"/>
      <c r="H52" s="1926"/>
      <c r="I52" s="1927"/>
      <c r="J52" s="1923"/>
      <c r="K52" s="1924"/>
      <c r="L52" s="370"/>
    </row>
    <row r="53" spans="1:12" ht="15.75" customHeight="1" x14ac:dyDescent="0.25">
      <c r="A53" s="771" t="s">
        <v>364</v>
      </c>
      <c r="B53" s="772">
        <v>5</v>
      </c>
      <c r="C53" s="751">
        <f t="shared" ref="C53:K53" si="10">C34+C42+C47+C50</f>
        <v>125648750</v>
      </c>
      <c r="D53" s="751">
        <f t="shared" si="10"/>
        <v>84654085.229999989</v>
      </c>
      <c r="E53" s="752">
        <f t="shared" si="10"/>
        <v>150175770.98000002</v>
      </c>
      <c r="F53" s="753">
        <f t="shared" si="10"/>
        <v>230014000</v>
      </c>
      <c r="G53" s="751">
        <f t="shared" si="10"/>
        <v>216853927</v>
      </c>
      <c r="H53" s="754">
        <f t="shared" si="10"/>
        <v>216853927</v>
      </c>
      <c r="I53" s="755">
        <f>I34+I42+I47+I50</f>
        <v>415658405</v>
      </c>
      <c r="J53" s="751">
        <f t="shared" si="10"/>
        <v>194271000</v>
      </c>
      <c r="K53" s="752">
        <f t="shared" si="10"/>
        <v>192390000</v>
      </c>
      <c r="L53" s="370"/>
    </row>
    <row r="54" spans="1:12" s="769" customFormat="1" ht="16.5" customHeight="1" x14ac:dyDescent="0.25">
      <c r="A54" s="773" t="s">
        <v>365</v>
      </c>
      <c r="B54" s="774"/>
      <c r="C54" s="775">
        <f t="shared" ref="C54:K54" si="11">C31+C53</f>
        <v>339574915</v>
      </c>
      <c r="D54" s="775">
        <f t="shared" si="11"/>
        <v>385496359.61000001</v>
      </c>
      <c r="E54" s="776">
        <f t="shared" si="11"/>
        <v>464576116.91000009</v>
      </c>
      <c r="F54" s="777">
        <f t="shared" si="11"/>
        <v>595218000</v>
      </c>
      <c r="G54" s="775">
        <f t="shared" si="11"/>
        <v>582057927</v>
      </c>
      <c r="H54" s="778">
        <f t="shared" si="11"/>
        <v>582057927</v>
      </c>
      <c r="I54" s="779">
        <f t="shared" si="11"/>
        <v>821858405</v>
      </c>
      <c r="J54" s="775">
        <f t="shared" si="11"/>
        <v>618581000</v>
      </c>
      <c r="K54" s="776">
        <f t="shared" si="11"/>
        <v>588307000</v>
      </c>
      <c r="L54" s="891"/>
    </row>
    <row r="55" spans="1:12" s="709" customFormat="1" x14ac:dyDescent="0.25">
      <c r="A55" s="1232" t="str">
        <f>head27a</f>
        <v>References</v>
      </c>
      <c r="B55" s="1038"/>
      <c r="C55" s="1042"/>
      <c r="D55" s="1042"/>
      <c r="E55" s="1042"/>
      <c r="F55" s="1042"/>
      <c r="G55" s="1042"/>
      <c r="H55" s="1042"/>
      <c r="I55" s="1042"/>
      <c r="J55" s="1042"/>
      <c r="K55" s="1042"/>
      <c r="L55" s="1086"/>
    </row>
    <row r="56" spans="1:12" s="709" customFormat="1" ht="11.25" customHeight="1" x14ac:dyDescent="0.25">
      <c r="A56" s="1197" t="s">
        <v>306</v>
      </c>
      <c r="B56" s="1038"/>
      <c r="C56" s="1041"/>
      <c r="D56" s="1041"/>
      <c r="E56" s="1042"/>
      <c r="F56" s="1042"/>
      <c r="G56" s="1042"/>
      <c r="H56" s="1042"/>
      <c r="I56" s="1042"/>
      <c r="J56" s="1042"/>
      <c r="K56" s="1042"/>
    </row>
    <row r="57" spans="1:12" s="709" customFormat="1" ht="11.25" customHeight="1" x14ac:dyDescent="0.25">
      <c r="A57" s="1194" t="s">
        <v>1393</v>
      </c>
      <c r="B57" s="1038"/>
      <c r="C57" s="1041"/>
      <c r="D57" s="1041"/>
      <c r="E57" s="1042"/>
      <c r="F57" s="1042"/>
      <c r="G57" s="1042"/>
      <c r="H57" s="1042"/>
      <c r="I57" s="1042"/>
      <c r="J57" s="1042"/>
      <c r="K57" s="1042"/>
    </row>
    <row r="58" spans="1:12" s="709" customFormat="1" ht="11.25" customHeight="1" x14ac:dyDescent="0.25">
      <c r="A58" s="1194" t="s">
        <v>586</v>
      </c>
      <c r="B58" s="1038"/>
      <c r="C58" s="1041"/>
      <c r="D58" s="1041"/>
      <c r="E58" s="1042"/>
      <c r="F58" s="1042"/>
      <c r="G58" s="1042"/>
      <c r="H58" s="1042"/>
      <c r="I58" s="1042"/>
      <c r="J58" s="1042"/>
      <c r="K58" s="1042"/>
    </row>
    <row r="59" spans="1:12" s="709" customFormat="1" ht="11.25" customHeight="1" x14ac:dyDescent="0.25">
      <c r="A59" s="1197" t="s">
        <v>1365</v>
      </c>
      <c r="B59" s="1038"/>
      <c r="C59" s="1041"/>
      <c r="D59" s="1041"/>
      <c r="E59" s="1042"/>
      <c r="F59" s="1042"/>
      <c r="G59" s="1042"/>
      <c r="H59" s="1042"/>
      <c r="I59" s="1042"/>
      <c r="J59" s="1042"/>
      <c r="K59" s="1042"/>
    </row>
    <row r="60" spans="1:12" s="709" customFormat="1" ht="11.25" customHeight="1" x14ac:dyDescent="0.25">
      <c r="A60" s="1409" t="s">
        <v>304</v>
      </c>
      <c r="B60" s="1043"/>
      <c r="C60" s="1079"/>
      <c r="D60" s="1080"/>
      <c r="E60" s="1079"/>
      <c r="F60" s="1080"/>
      <c r="G60" s="1079"/>
      <c r="H60" s="1079"/>
      <c r="I60" s="1079"/>
      <c r="J60" s="1079"/>
      <c r="K60" s="1079"/>
    </row>
    <row r="61" spans="1:12" s="709" customFormat="1" ht="11.25" customHeight="1" x14ac:dyDescent="0.25">
      <c r="A61" s="1409" t="s">
        <v>905</v>
      </c>
      <c r="B61" s="1048"/>
    </row>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sheetData>
  <sheetProtection sheet="1" objects="1" scenarios="1"/>
  <mergeCells count="2">
    <mergeCell ref="F2:H2"/>
    <mergeCell ref="I2:K2"/>
  </mergeCells>
  <phoneticPr fontId="2" type="noConversion"/>
  <dataValidations xWindow="131" yWindow="608" count="4">
    <dataValidation type="list" showInputMessage="1" showErrorMessage="1" prompt="Select transfer/grant description" sqref="A9:A13">
      <formula1>GrantNatOpex</formula1>
    </dataValidation>
    <dataValidation type="list" showInputMessage="1" showErrorMessage="1" prompt="Select transfer/grant description" sqref="A16:A23">
      <formula1>GrantProvOpex</formula1>
    </dataValidation>
    <dataValidation type="list" showInputMessage="1" showErrorMessage="1" prompt="Select transfer/grant description" sqref="A35:A41">
      <formula1>GrantNatCapex</formula1>
    </dataValidation>
    <dataValidation showInputMessage="1" showErrorMessage="1" prompt="Select transfer/grant description" sqref="A8"/>
  </dataValidations>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rgb="FF92D050"/>
  </sheetPr>
  <dimension ref="A1:AC308"/>
  <sheetViews>
    <sheetView zoomScaleNormal="100" workbookViewId="0">
      <pane xSplit="1" ySplit="1" topLeftCell="B146" activePane="bottomRight" state="frozen"/>
      <selection pane="topRight"/>
      <selection pane="bottomLeft"/>
      <selection pane="bottomRight" activeCell="C230" sqref="C230"/>
    </sheetView>
  </sheetViews>
  <sheetFormatPr defaultColWidth="9.1796875" defaultRowHeight="10" x14ac:dyDescent="0.2"/>
  <cols>
    <col min="1" max="1" width="28.81640625" style="2" bestFit="1" customWidth="1"/>
    <col min="2" max="2" width="29.54296875" style="2" customWidth="1"/>
    <col min="3" max="3" width="29.453125" style="2" customWidth="1"/>
    <col min="4" max="4" width="41.81640625" style="2" bestFit="1" customWidth="1"/>
    <col min="5" max="14" width="41.81640625" style="2" customWidth="1"/>
    <col min="15" max="15" width="43.54296875" style="2" bestFit="1" customWidth="1"/>
    <col min="16" max="16" width="1.26953125" style="2" customWidth="1"/>
    <col min="17" max="17" width="5" style="2" bestFit="1" customWidth="1"/>
    <col min="18" max="18" width="2.7265625" style="2" bestFit="1" customWidth="1"/>
    <col min="19" max="19" width="4.1796875" style="2" bestFit="1" customWidth="1"/>
    <col min="20" max="20" width="9.7265625" style="2" bestFit="1" customWidth="1"/>
    <col min="21" max="21" width="9.54296875" style="2" bestFit="1" customWidth="1"/>
    <col min="22" max="22" width="3.81640625" style="2" bestFit="1" customWidth="1"/>
    <col min="23" max="23" width="6.7265625" style="2" bestFit="1" customWidth="1"/>
    <col min="24" max="24" width="4.26953125" style="2" bestFit="1" customWidth="1"/>
    <col min="25" max="25" width="9.1796875" style="2"/>
    <col min="26" max="26" width="31.7265625" style="2" customWidth="1"/>
    <col min="27" max="27" width="26.7265625" style="2" customWidth="1"/>
    <col min="28" max="28" width="31.7265625" style="2" customWidth="1"/>
    <col min="29" max="29" width="23.1796875" style="2" customWidth="1"/>
    <col min="30" max="16384" width="9.1796875" style="2"/>
  </cols>
  <sheetData>
    <row r="1" spans="1:29" s="3" customFormat="1" ht="10.5" x14ac:dyDescent="0.25">
      <c r="A1" s="1008" t="s">
        <v>773</v>
      </c>
      <c r="B1" s="1009">
        <v>2007</v>
      </c>
      <c r="C1" s="1009">
        <v>2008</v>
      </c>
      <c r="D1" s="1009">
        <v>2009</v>
      </c>
      <c r="E1" s="1031">
        <v>2010</v>
      </c>
      <c r="F1" s="1031">
        <v>2011</v>
      </c>
      <c r="G1" s="1009">
        <v>2012</v>
      </c>
      <c r="H1" s="1031">
        <v>2013</v>
      </c>
      <c r="I1" s="1031">
        <v>2014</v>
      </c>
      <c r="J1" s="1031">
        <v>2015</v>
      </c>
      <c r="K1" s="1031">
        <v>2016</v>
      </c>
      <c r="L1" s="1031">
        <v>2017</v>
      </c>
      <c r="M1" s="1031">
        <v>2018</v>
      </c>
      <c r="N1" s="1031">
        <v>2019</v>
      </c>
      <c r="O1" s="1031">
        <v>2020</v>
      </c>
      <c r="P1" s="1032"/>
      <c r="Q1" s="1035" t="s">
        <v>157</v>
      </c>
      <c r="R1" s="1036"/>
      <c r="S1" s="1036"/>
      <c r="T1" s="1036"/>
      <c r="U1" s="1036"/>
      <c r="V1" s="1036"/>
      <c r="W1" s="1036"/>
      <c r="X1" s="1036"/>
      <c r="Y1" s="1167" t="s">
        <v>1581</v>
      </c>
      <c r="Z1" s="1167" t="s">
        <v>1582</v>
      </c>
      <c r="AA1" s="1167" t="s">
        <v>1584</v>
      </c>
      <c r="AB1" s="1167" t="s">
        <v>1583</v>
      </c>
      <c r="AC1" s="1167" t="s">
        <v>1235</v>
      </c>
    </row>
    <row r="2" spans="1:29" x14ac:dyDescent="0.2">
      <c r="A2" s="10" t="str">
        <f>'Template names'!C2</f>
        <v>Prior year -1</v>
      </c>
      <c r="B2" s="6" t="s">
        <v>1056</v>
      </c>
      <c r="C2" s="6" t="s">
        <v>1286</v>
      </c>
      <c r="D2" s="6" t="s">
        <v>1104</v>
      </c>
      <c r="E2" s="13" t="str">
        <f t="shared" ref="E2:O2" si="0">E1-2&amp;"/"&amp;RIGHT(E1,2)-1</f>
        <v>2008/9</v>
      </c>
      <c r="F2" s="13" t="str">
        <f t="shared" si="0"/>
        <v>2009/10</v>
      </c>
      <c r="G2" s="13" t="str">
        <f t="shared" si="0"/>
        <v>2010/11</v>
      </c>
      <c r="H2" s="13" t="str">
        <f t="shared" si="0"/>
        <v>2011/12</v>
      </c>
      <c r="I2" s="13" t="str">
        <f t="shared" si="0"/>
        <v>2012/13</v>
      </c>
      <c r="J2" s="13" t="str">
        <f t="shared" si="0"/>
        <v>2013/14</v>
      </c>
      <c r="K2" s="13" t="str">
        <f t="shared" si="0"/>
        <v>2014/15</v>
      </c>
      <c r="L2" s="13" t="str">
        <f t="shared" si="0"/>
        <v>2015/16</v>
      </c>
      <c r="M2" s="13" t="str">
        <f t="shared" si="0"/>
        <v>2016/17</v>
      </c>
      <c r="N2" s="13" t="str">
        <f t="shared" si="0"/>
        <v>2017/18</v>
      </c>
      <c r="O2" s="13" t="str">
        <f t="shared" si="0"/>
        <v>2018/19</v>
      </c>
      <c r="P2" s="6"/>
      <c r="Q2" s="24" t="s">
        <v>425</v>
      </c>
      <c r="R2" s="1034" t="s">
        <v>158</v>
      </c>
      <c r="S2" s="1034" t="s">
        <v>159</v>
      </c>
      <c r="T2" s="4" t="s">
        <v>161</v>
      </c>
      <c r="U2" s="13" t="s">
        <v>165</v>
      </c>
      <c r="V2" s="4" t="s">
        <v>425</v>
      </c>
      <c r="W2" s="21" t="s">
        <v>1088</v>
      </c>
      <c r="X2" s="21" t="s">
        <v>1680</v>
      </c>
      <c r="Z2" s="1" t="s">
        <v>1927</v>
      </c>
      <c r="AA2" s="1" t="s">
        <v>1928</v>
      </c>
      <c r="AB2" s="1" t="s">
        <v>1923</v>
      </c>
      <c r="AC2" s="1" t="s">
        <v>1916</v>
      </c>
    </row>
    <row r="3" spans="1:29" x14ac:dyDescent="0.2">
      <c r="A3" s="10" t="str">
        <f>'Template names'!C3</f>
        <v>Prior year -2</v>
      </c>
      <c r="B3" s="6" t="s">
        <v>1057</v>
      </c>
      <c r="C3" s="6" t="s">
        <v>1056</v>
      </c>
      <c r="D3" s="6" t="s">
        <v>1286</v>
      </c>
      <c r="E3" s="13" t="str">
        <f t="shared" ref="E3:O3" si="1">E1-3&amp;"/"&amp;RIGHT(E1,2)-2</f>
        <v>2007/8</v>
      </c>
      <c r="F3" s="13" t="str">
        <f t="shared" si="1"/>
        <v>2008/9</v>
      </c>
      <c r="G3" s="13" t="str">
        <f t="shared" si="1"/>
        <v>2009/10</v>
      </c>
      <c r="H3" s="13" t="str">
        <f t="shared" si="1"/>
        <v>2010/11</v>
      </c>
      <c r="I3" s="13" t="str">
        <f t="shared" si="1"/>
        <v>2011/12</v>
      </c>
      <c r="J3" s="13" t="str">
        <f t="shared" si="1"/>
        <v>2012/13</v>
      </c>
      <c r="K3" s="13" t="str">
        <f t="shared" si="1"/>
        <v>2013/14</v>
      </c>
      <c r="L3" s="13" t="str">
        <f t="shared" si="1"/>
        <v>2014/15</v>
      </c>
      <c r="M3" s="13" t="str">
        <f t="shared" si="1"/>
        <v>2015/16</v>
      </c>
      <c r="N3" s="13" t="str">
        <f t="shared" si="1"/>
        <v>2016/17</v>
      </c>
      <c r="O3" s="13" t="str">
        <f t="shared" si="1"/>
        <v>2017/18</v>
      </c>
      <c r="P3" s="6"/>
      <c r="Q3" s="24" t="s">
        <v>827</v>
      </c>
      <c r="R3" s="4">
        <v>1</v>
      </c>
      <c r="S3" s="4">
        <v>4</v>
      </c>
      <c r="T3" s="4" t="s">
        <v>162</v>
      </c>
      <c r="U3" s="13" t="s">
        <v>163</v>
      </c>
      <c r="V3" s="22" t="s">
        <v>827</v>
      </c>
      <c r="W3" s="22" t="s">
        <v>1677</v>
      </c>
      <c r="X3" s="22" t="s">
        <v>1681</v>
      </c>
      <c r="Z3" s="1" t="s">
        <v>1926</v>
      </c>
      <c r="AA3" s="1" t="s">
        <v>1929</v>
      </c>
      <c r="AB3" s="1" t="s">
        <v>1922</v>
      </c>
      <c r="AC3" s="1" t="s">
        <v>1917</v>
      </c>
    </row>
    <row r="4" spans="1:29" x14ac:dyDescent="0.2">
      <c r="A4" s="10" t="str">
        <f>'Template names'!C4</f>
        <v>Prior year -3</v>
      </c>
      <c r="B4" s="6" t="s">
        <v>1058</v>
      </c>
      <c r="C4" s="6" t="s">
        <v>1057</v>
      </c>
      <c r="D4" s="6" t="s">
        <v>1056</v>
      </c>
      <c r="E4" s="13" t="str">
        <f t="shared" ref="E4:O4" si="2">E1-4&amp;"/"&amp;RIGHT(E1,2)-3</f>
        <v>2006/7</v>
      </c>
      <c r="F4" s="13" t="str">
        <f t="shared" si="2"/>
        <v>2007/8</v>
      </c>
      <c r="G4" s="13" t="str">
        <f t="shared" si="2"/>
        <v>2008/9</v>
      </c>
      <c r="H4" s="13" t="str">
        <f t="shared" si="2"/>
        <v>2009/10</v>
      </c>
      <c r="I4" s="13" t="str">
        <f t="shared" si="2"/>
        <v>2010/11</v>
      </c>
      <c r="J4" s="13" t="str">
        <f t="shared" si="2"/>
        <v>2011/12</v>
      </c>
      <c r="K4" s="13" t="str">
        <f t="shared" si="2"/>
        <v>2012/13</v>
      </c>
      <c r="L4" s="13" t="str">
        <f t="shared" si="2"/>
        <v>2013/14</v>
      </c>
      <c r="M4" s="13" t="str">
        <f t="shared" si="2"/>
        <v>2014/15</v>
      </c>
      <c r="N4" s="13" t="str">
        <f t="shared" si="2"/>
        <v>2015/16</v>
      </c>
      <c r="O4" s="13" t="str">
        <f t="shared" si="2"/>
        <v>2016/17</v>
      </c>
      <c r="P4" s="6"/>
      <c r="Q4" s="25"/>
      <c r="R4" s="4">
        <v>2</v>
      </c>
      <c r="S4" s="4">
        <v>5</v>
      </c>
      <c r="T4" s="22" t="s">
        <v>292</v>
      </c>
      <c r="U4" s="14" t="s">
        <v>292</v>
      </c>
      <c r="V4" s="23"/>
      <c r="Z4" s="1" t="s">
        <v>1925</v>
      </c>
      <c r="AA4" s="1" t="s">
        <v>1707</v>
      </c>
      <c r="AB4" s="1" t="s">
        <v>1911</v>
      </c>
      <c r="AC4" s="1" t="s">
        <v>1786</v>
      </c>
    </row>
    <row r="5" spans="1:29" x14ac:dyDescent="0.2">
      <c r="A5" s="10" t="str">
        <f>'Template names'!C5</f>
        <v>Year in which budget is being prepared</v>
      </c>
      <c r="B5" s="6" t="s">
        <v>404</v>
      </c>
      <c r="C5" s="6" t="s">
        <v>1103</v>
      </c>
      <c r="D5" s="6" t="s">
        <v>1111</v>
      </c>
      <c r="E5" s="13" t="str">
        <f t="shared" ref="E5:O5" si="3">"Current Year "&amp; E1-1&amp;"/"&amp;RIGHT(E1,2)</f>
        <v>Current Year 2009/10</v>
      </c>
      <c r="F5" s="13" t="str">
        <f t="shared" si="3"/>
        <v>Current Year 2010/11</v>
      </c>
      <c r="G5" s="13" t="str">
        <f t="shared" si="3"/>
        <v>Current Year 2011/12</v>
      </c>
      <c r="H5" s="13" t="str">
        <f t="shared" si="3"/>
        <v>Current Year 2012/13</v>
      </c>
      <c r="I5" s="13" t="str">
        <f t="shared" si="3"/>
        <v>Current Year 2013/14</v>
      </c>
      <c r="J5" s="13" t="str">
        <f t="shared" si="3"/>
        <v>Current Year 2014/15</v>
      </c>
      <c r="K5" s="13" t="str">
        <f t="shared" si="3"/>
        <v>Current Year 2015/16</v>
      </c>
      <c r="L5" s="13" t="str">
        <f t="shared" si="3"/>
        <v>Current Year 2016/17</v>
      </c>
      <c r="M5" s="13" t="str">
        <f t="shared" si="3"/>
        <v>Current Year 2017/18</v>
      </c>
      <c r="N5" s="13" t="str">
        <f t="shared" si="3"/>
        <v>Current Year 2018/19</v>
      </c>
      <c r="O5" s="13" t="str">
        <f t="shared" si="3"/>
        <v>Current Year 2019/20</v>
      </c>
      <c r="P5" s="6"/>
      <c r="R5" s="4">
        <v>3</v>
      </c>
      <c r="S5" s="4">
        <v>6</v>
      </c>
      <c r="Z5" s="1" t="s">
        <v>1924</v>
      </c>
      <c r="AA5" s="1" t="s">
        <v>1921</v>
      </c>
      <c r="AB5" s="1" t="s">
        <v>1913</v>
      </c>
      <c r="AC5" s="1" t="s">
        <v>1918</v>
      </c>
    </row>
    <row r="6" spans="1:29" x14ac:dyDescent="0.2">
      <c r="A6" s="10" t="str">
        <f>'Template names'!C6</f>
        <v>Year in which budget is being prepared</v>
      </c>
      <c r="B6" s="6" t="s">
        <v>1286</v>
      </c>
      <c r="C6" s="6" t="s">
        <v>1104</v>
      </c>
      <c r="D6" s="6" t="s">
        <v>1112</v>
      </c>
      <c r="E6" s="13" t="str">
        <f t="shared" ref="E6:O6" si="4">E1-1&amp;"/"&amp;RIGHT(E1,2)</f>
        <v>2009/10</v>
      </c>
      <c r="F6" s="13" t="str">
        <f t="shared" si="4"/>
        <v>2010/11</v>
      </c>
      <c r="G6" s="13" t="str">
        <f t="shared" si="4"/>
        <v>2011/12</v>
      </c>
      <c r="H6" s="13" t="str">
        <f t="shared" si="4"/>
        <v>2012/13</v>
      </c>
      <c r="I6" s="13" t="str">
        <f t="shared" si="4"/>
        <v>2013/14</v>
      </c>
      <c r="J6" s="13" t="str">
        <f t="shared" si="4"/>
        <v>2014/15</v>
      </c>
      <c r="K6" s="13" t="str">
        <f t="shared" si="4"/>
        <v>2015/16</v>
      </c>
      <c r="L6" s="13" t="str">
        <f t="shared" si="4"/>
        <v>2016/17</v>
      </c>
      <c r="M6" s="13" t="str">
        <f t="shared" si="4"/>
        <v>2017/18</v>
      </c>
      <c r="N6" s="13" t="str">
        <f t="shared" si="4"/>
        <v>2018/19</v>
      </c>
      <c r="O6" s="13" t="str">
        <f t="shared" si="4"/>
        <v>2019/20</v>
      </c>
      <c r="P6" s="6"/>
      <c r="R6" s="4">
        <v>4</v>
      </c>
      <c r="S6" s="1033" t="s">
        <v>1087</v>
      </c>
      <c r="Z6" s="2" t="s">
        <v>1904</v>
      </c>
      <c r="AB6" s="1" t="s">
        <v>1912</v>
      </c>
      <c r="AC6" s="1" t="s">
        <v>1919</v>
      </c>
    </row>
    <row r="7" spans="1:29" x14ac:dyDescent="0.2">
      <c r="A7" s="10" t="str">
        <f>'Template names'!C7</f>
        <v>MTREF name</v>
      </c>
      <c r="B7" s="6" t="s">
        <v>798</v>
      </c>
      <c r="C7" s="6" t="s">
        <v>799</v>
      </c>
      <c r="D7" s="6" t="s">
        <v>800</v>
      </c>
      <c r="E7" s="13" t="str">
        <f t="shared" ref="E7:O7" si="5">E1&amp;"/"&amp;RIGHT(E1,2)+1&amp;" Medium Term Revenue &amp; Expenditure Framework"</f>
        <v>2010/11 Medium Term Revenue &amp; Expenditure Framework</v>
      </c>
      <c r="F7" s="13" t="str">
        <f t="shared" si="5"/>
        <v>2011/12 Medium Term Revenue &amp; Expenditure Framework</v>
      </c>
      <c r="G7" s="13" t="str">
        <f t="shared" si="5"/>
        <v>2012/13 Medium Term Revenue &amp; Expenditure Framework</v>
      </c>
      <c r="H7" s="13" t="str">
        <f t="shared" si="5"/>
        <v>2013/14 Medium Term Revenue &amp; Expenditure Framework</v>
      </c>
      <c r="I7" s="13" t="str">
        <f t="shared" si="5"/>
        <v>2014/15 Medium Term Revenue &amp; Expenditure Framework</v>
      </c>
      <c r="J7" s="13" t="str">
        <f t="shared" si="5"/>
        <v>2015/16 Medium Term Revenue &amp; Expenditure Framework</v>
      </c>
      <c r="K7" s="13" t="str">
        <f t="shared" si="5"/>
        <v>2016/17 Medium Term Revenue &amp; Expenditure Framework</v>
      </c>
      <c r="L7" s="13" t="str">
        <f t="shared" si="5"/>
        <v>2017/18 Medium Term Revenue &amp; Expenditure Framework</v>
      </c>
      <c r="M7" s="13" t="str">
        <f t="shared" si="5"/>
        <v>2018/19 Medium Term Revenue &amp; Expenditure Framework</v>
      </c>
      <c r="N7" s="13" t="str">
        <f t="shared" si="5"/>
        <v>2019/20 Medium Term Revenue &amp; Expenditure Framework</v>
      </c>
      <c r="O7" s="13" t="str">
        <f t="shared" si="5"/>
        <v>2020/21 Medium Term Revenue &amp; Expenditure Framework</v>
      </c>
      <c r="P7" s="6"/>
      <c r="R7" s="4">
        <v>5</v>
      </c>
      <c r="S7" s="22" t="s">
        <v>160</v>
      </c>
      <c r="Z7" s="2" t="s">
        <v>1905</v>
      </c>
      <c r="AB7" s="1" t="s">
        <v>1909</v>
      </c>
      <c r="AC7" s="1" t="s">
        <v>1920</v>
      </c>
    </row>
    <row r="8" spans="1:29" x14ac:dyDescent="0.2">
      <c r="A8" s="10" t="str">
        <f>'Template names'!C15</f>
        <v>1st year of MTREF</v>
      </c>
      <c r="B8" s="6" t="s">
        <v>1617</v>
      </c>
      <c r="C8" s="6" t="s">
        <v>1105</v>
      </c>
      <c r="D8" s="6" t="s">
        <v>1113</v>
      </c>
      <c r="E8" s="13" t="str">
        <f t="shared" ref="E8:O8" si="6">"Budget Year "&amp;E1&amp;"/"&amp;RIGHT(E1,2)+1</f>
        <v>Budget Year 2010/11</v>
      </c>
      <c r="F8" s="13" t="str">
        <f t="shared" si="6"/>
        <v>Budget Year 2011/12</v>
      </c>
      <c r="G8" s="13" t="str">
        <f t="shared" si="6"/>
        <v>Budget Year 2012/13</v>
      </c>
      <c r="H8" s="13" t="str">
        <f t="shared" si="6"/>
        <v>Budget Year 2013/14</v>
      </c>
      <c r="I8" s="13" t="str">
        <f t="shared" si="6"/>
        <v>Budget Year 2014/15</v>
      </c>
      <c r="J8" s="13" t="str">
        <f t="shared" si="6"/>
        <v>Budget Year 2015/16</v>
      </c>
      <c r="K8" s="13" t="str">
        <f t="shared" si="6"/>
        <v>Budget Year 2016/17</v>
      </c>
      <c r="L8" s="13" t="str">
        <f t="shared" si="6"/>
        <v>Budget Year 2017/18</v>
      </c>
      <c r="M8" s="13" t="str">
        <f t="shared" si="6"/>
        <v>Budget Year 2018/19</v>
      </c>
      <c r="N8" s="13" t="str">
        <f t="shared" si="6"/>
        <v>Budget Year 2019/20</v>
      </c>
      <c r="O8" s="13" t="str">
        <f t="shared" si="6"/>
        <v>Budget Year 2020/21</v>
      </c>
      <c r="P8" s="6"/>
      <c r="R8" s="22" t="s">
        <v>1086</v>
      </c>
      <c r="Z8" s="2" t="s">
        <v>1906</v>
      </c>
      <c r="AB8" s="1" t="s">
        <v>1910</v>
      </c>
      <c r="AC8" s="1" t="s">
        <v>1921</v>
      </c>
    </row>
    <row r="9" spans="1:29" x14ac:dyDescent="0.2">
      <c r="A9" s="10" t="str">
        <f>'Template names'!C16</f>
        <v>2nd year of MTREF</v>
      </c>
      <c r="B9" s="6" t="s">
        <v>1618</v>
      </c>
      <c r="C9" s="6" t="s">
        <v>1106</v>
      </c>
      <c r="D9" s="6" t="s">
        <v>1368</v>
      </c>
      <c r="E9" s="13" t="str">
        <f t="shared" ref="E9:O9" si="7">"Budget Year +1 "&amp;E1+1&amp;"/"&amp;RIGHT(E1,2)+2</f>
        <v>Budget Year +1 2011/12</v>
      </c>
      <c r="F9" s="13" t="str">
        <f t="shared" si="7"/>
        <v>Budget Year +1 2012/13</v>
      </c>
      <c r="G9" s="13" t="str">
        <f t="shared" si="7"/>
        <v>Budget Year +1 2013/14</v>
      </c>
      <c r="H9" s="13" t="str">
        <f t="shared" si="7"/>
        <v>Budget Year +1 2014/15</v>
      </c>
      <c r="I9" s="13" t="str">
        <f t="shared" si="7"/>
        <v>Budget Year +1 2015/16</v>
      </c>
      <c r="J9" s="13" t="str">
        <f t="shared" si="7"/>
        <v>Budget Year +1 2016/17</v>
      </c>
      <c r="K9" s="13" t="str">
        <f t="shared" si="7"/>
        <v>Budget Year +1 2017/18</v>
      </c>
      <c r="L9" s="13" t="str">
        <f t="shared" si="7"/>
        <v>Budget Year +1 2018/19</v>
      </c>
      <c r="M9" s="13" t="str">
        <f t="shared" si="7"/>
        <v>Budget Year +1 2019/20</v>
      </c>
      <c r="N9" s="13" t="str">
        <f t="shared" si="7"/>
        <v>Budget Year +1 2020/21</v>
      </c>
      <c r="O9" s="13" t="str">
        <f t="shared" si="7"/>
        <v>Budget Year +1 2021/22</v>
      </c>
      <c r="P9" s="6"/>
      <c r="Z9" s="1" t="s">
        <v>1907</v>
      </c>
    </row>
    <row r="10" spans="1:29" x14ac:dyDescent="0.2">
      <c r="A10" s="10" t="str">
        <f>'Template names'!C17</f>
        <v>3rd year of MTREF</v>
      </c>
      <c r="B10" s="6" t="s">
        <v>1619</v>
      </c>
      <c r="C10" s="6" t="s">
        <v>1107</v>
      </c>
      <c r="D10" s="6" t="s">
        <v>1369</v>
      </c>
      <c r="E10" s="13" t="str">
        <f t="shared" ref="E10:O10" si="8">"Budget Year +2 "&amp;E1+2&amp;"/"&amp;RIGHT(E1,2)+3</f>
        <v>Budget Year +2 2012/13</v>
      </c>
      <c r="F10" s="13" t="str">
        <f t="shared" si="8"/>
        <v>Budget Year +2 2013/14</v>
      </c>
      <c r="G10" s="13" t="str">
        <f t="shared" si="8"/>
        <v>Budget Year +2 2014/15</v>
      </c>
      <c r="H10" s="13" t="str">
        <f t="shared" si="8"/>
        <v>Budget Year +2 2015/16</v>
      </c>
      <c r="I10" s="13" t="str">
        <f t="shared" si="8"/>
        <v>Budget Year +2 2016/17</v>
      </c>
      <c r="J10" s="13" t="str">
        <f t="shared" si="8"/>
        <v>Budget Year +2 2017/18</v>
      </c>
      <c r="K10" s="13" t="str">
        <f t="shared" si="8"/>
        <v>Budget Year +2 2018/19</v>
      </c>
      <c r="L10" s="13" t="str">
        <f t="shared" si="8"/>
        <v>Budget Year +2 2019/20</v>
      </c>
      <c r="M10" s="13" t="str">
        <f t="shared" si="8"/>
        <v>Budget Year +2 2020/21</v>
      </c>
      <c r="N10" s="13" t="str">
        <f t="shared" si="8"/>
        <v>Budget Year +2 2021/22</v>
      </c>
      <c r="O10" s="13" t="str">
        <f t="shared" si="8"/>
        <v>Budget Year +2 2022/23</v>
      </c>
      <c r="P10" s="6"/>
      <c r="Z10" s="1" t="s">
        <v>1908</v>
      </c>
    </row>
    <row r="11" spans="1:29" x14ac:dyDescent="0.2">
      <c r="A11" s="10" t="str">
        <f>'Template names'!C18</f>
        <v>1st yr of long term forecast</v>
      </c>
      <c r="B11" s="6" t="s">
        <v>1703</v>
      </c>
      <c r="C11" s="6" t="s">
        <v>1704</v>
      </c>
      <c r="D11" s="6" t="s">
        <v>1705</v>
      </c>
      <c r="E11" s="13" t="str">
        <f t="shared" ref="E11:O11" si="9">"Forecast "&amp;E1+3&amp;"/"&amp;RIGHT(E1,2)+4</f>
        <v>Forecast 2013/14</v>
      </c>
      <c r="F11" s="13" t="str">
        <f t="shared" si="9"/>
        <v>Forecast 2014/15</v>
      </c>
      <c r="G11" s="13" t="str">
        <f t="shared" si="9"/>
        <v>Forecast 2015/16</v>
      </c>
      <c r="H11" s="13" t="str">
        <f t="shared" si="9"/>
        <v>Forecast 2016/17</v>
      </c>
      <c r="I11" s="13" t="str">
        <f t="shared" si="9"/>
        <v>Forecast 2017/18</v>
      </c>
      <c r="J11" s="13" t="str">
        <f t="shared" si="9"/>
        <v>Forecast 2018/19</v>
      </c>
      <c r="K11" s="13" t="str">
        <f t="shared" si="9"/>
        <v>Forecast 2019/20</v>
      </c>
      <c r="L11" s="13" t="str">
        <f t="shared" si="9"/>
        <v>Forecast 2020/21</v>
      </c>
      <c r="M11" s="13" t="str">
        <f t="shared" si="9"/>
        <v>Forecast 2021/22</v>
      </c>
      <c r="N11" s="13" t="str">
        <f t="shared" si="9"/>
        <v>Forecast 2022/23</v>
      </c>
      <c r="O11" s="13" t="str">
        <f t="shared" si="9"/>
        <v>Forecast 2023/24</v>
      </c>
      <c r="P11" s="6"/>
      <c r="Z11" s="1" t="s">
        <v>1914</v>
      </c>
    </row>
    <row r="12" spans="1:29" x14ac:dyDescent="0.2">
      <c r="A12" s="10" t="str">
        <f>'Template names'!C19</f>
        <v>Next yr of long term forecast</v>
      </c>
      <c r="B12" s="6" t="s">
        <v>1704</v>
      </c>
      <c r="C12" s="6" t="s">
        <v>1705</v>
      </c>
      <c r="D12" s="6" t="s">
        <v>1706</v>
      </c>
      <c r="E12" s="13" t="str">
        <f t="shared" ref="E12:O12" si="10">"Forecast "&amp;E1+4&amp;"/"&amp;RIGHT(E1,2)+5</f>
        <v>Forecast 2014/15</v>
      </c>
      <c r="F12" s="13" t="str">
        <f t="shared" si="10"/>
        <v>Forecast 2015/16</v>
      </c>
      <c r="G12" s="13" t="str">
        <f t="shared" si="10"/>
        <v>Forecast 2016/17</v>
      </c>
      <c r="H12" s="13" t="str">
        <f t="shared" si="10"/>
        <v>Forecast 2017/18</v>
      </c>
      <c r="I12" s="13" t="str">
        <f t="shared" si="10"/>
        <v>Forecast 2018/19</v>
      </c>
      <c r="J12" s="13" t="str">
        <f t="shared" si="10"/>
        <v>Forecast 2019/20</v>
      </c>
      <c r="K12" s="13" t="str">
        <f t="shared" si="10"/>
        <v>Forecast 2020/21</v>
      </c>
      <c r="L12" s="13" t="str">
        <f t="shared" si="10"/>
        <v>Forecast 2021/22</v>
      </c>
      <c r="M12" s="13" t="str">
        <f t="shared" si="10"/>
        <v>Forecast 2022/23</v>
      </c>
      <c r="N12" s="13" t="str">
        <f t="shared" si="10"/>
        <v>Forecast 2023/24</v>
      </c>
      <c r="O12" s="13" t="str">
        <f t="shared" si="10"/>
        <v>Forecast 2024/25</v>
      </c>
      <c r="P12" s="6"/>
      <c r="Z12" s="1" t="s">
        <v>1915</v>
      </c>
    </row>
    <row r="13" spans="1:29" x14ac:dyDescent="0.2">
      <c r="A13" s="10" t="str">
        <f>'Template names'!C20</f>
        <v>Next yr of long term forecast</v>
      </c>
      <c r="B13" s="6" t="s">
        <v>1705</v>
      </c>
      <c r="C13" s="6" t="s">
        <v>1706</v>
      </c>
      <c r="D13" s="6" t="s">
        <v>914</v>
      </c>
      <c r="E13" s="13" t="str">
        <f t="shared" ref="E13:O13" si="11">"Forecast "&amp;E1+5&amp;"/"&amp;RIGHT(E1,2)+6</f>
        <v>Forecast 2015/16</v>
      </c>
      <c r="F13" s="13" t="str">
        <f t="shared" si="11"/>
        <v>Forecast 2016/17</v>
      </c>
      <c r="G13" s="13" t="str">
        <f t="shared" si="11"/>
        <v>Forecast 2017/18</v>
      </c>
      <c r="H13" s="13" t="str">
        <f t="shared" si="11"/>
        <v>Forecast 2018/19</v>
      </c>
      <c r="I13" s="13" t="str">
        <f t="shared" si="11"/>
        <v>Forecast 2019/20</v>
      </c>
      <c r="J13" s="13" t="str">
        <f t="shared" si="11"/>
        <v>Forecast 2020/21</v>
      </c>
      <c r="K13" s="13" t="str">
        <f t="shared" si="11"/>
        <v>Forecast 2021/22</v>
      </c>
      <c r="L13" s="13" t="str">
        <f t="shared" si="11"/>
        <v>Forecast 2022/23</v>
      </c>
      <c r="M13" s="13" t="str">
        <f t="shared" si="11"/>
        <v>Forecast 2023/24</v>
      </c>
      <c r="N13" s="13" t="str">
        <f t="shared" si="11"/>
        <v>Forecast 2024/25</v>
      </c>
      <c r="O13" s="13" t="str">
        <f t="shared" si="11"/>
        <v>Forecast 2025/26</v>
      </c>
      <c r="P13" s="6"/>
    </row>
    <row r="14" spans="1:29" ht="10.5" x14ac:dyDescent="0.25">
      <c r="A14" s="10" t="str">
        <f>'Template names'!C21</f>
        <v>Next yr of long term forecast</v>
      </c>
      <c r="B14" s="6" t="s">
        <v>1706</v>
      </c>
      <c r="C14" s="6" t="s">
        <v>914</v>
      </c>
      <c r="D14" s="6" t="s">
        <v>915</v>
      </c>
      <c r="E14" s="13" t="str">
        <f t="shared" ref="E14:O14" si="12">"Forecast "&amp;E1+6&amp;"/"&amp;RIGHT(E1,2)+7</f>
        <v>Forecast 2016/17</v>
      </c>
      <c r="F14" s="13" t="str">
        <f t="shared" si="12"/>
        <v>Forecast 2017/18</v>
      </c>
      <c r="G14" s="13" t="str">
        <f t="shared" si="12"/>
        <v>Forecast 2018/19</v>
      </c>
      <c r="H14" s="13" t="str">
        <f t="shared" si="12"/>
        <v>Forecast 2019/20</v>
      </c>
      <c r="I14" s="13" t="str">
        <f t="shared" si="12"/>
        <v>Forecast 2020/21</v>
      </c>
      <c r="J14" s="13" t="str">
        <f t="shared" si="12"/>
        <v>Forecast 2021/22</v>
      </c>
      <c r="K14" s="13" t="str">
        <f t="shared" si="12"/>
        <v>Forecast 2022/23</v>
      </c>
      <c r="L14" s="13" t="str">
        <f t="shared" si="12"/>
        <v>Forecast 2023/24</v>
      </c>
      <c r="M14" s="13" t="str">
        <f t="shared" si="12"/>
        <v>Forecast 2024/25</v>
      </c>
      <c r="N14" s="13" t="str">
        <f t="shared" si="12"/>
        <v>Forecast 2025/26</v>
      </c>
      <c r="O14" s="13" t="str">
        <f t="shared" si="12"/>
        <v>Forecast 2026/27</v>
      </c>
      <c r="P14" s="6"/>
      <c r="Z14" s="1167" t="s">
        <v>1979</v>
      </c>
      <c r="AA14" s="1167" t="s">
        <v>1980</v>
      </c>
    </row>
    <row r="15" spans="1:29" x14ac:dyDescent="0.2">
      <c r="A15" s="10" t="str">
        <f>'Template names'!C22</f>
        <v>Next yr of long term forecast</v>
      </c>
      <c r="B15" s="6" t="s">
        <v>914</v>
      </c>
      <c r="C15" s="6" t="s">
        <v>915</v>
      </c>
      <c r="D15" s="6" t="s">
        <v>916</v>
      </c>
      <c r="E15" s="13" t="str">
        <f t="shared" ref="E15:O15" si="13">"Forecast "&amp;E1+7&amp;"/"&amp;RIGHT(E1,2)+8</f>
        <v>Forecast 2017/18</v>
      </c>
      <c r="F15" s="13" t="str">
        <f t="shared" si="13"/>
        <v>Forecast 2018/19</v>
      </c>
      <c r="G15" s="13" t="str">
        <f t="shared" si="13"/>
        <v>Forecast 2019/20</v>
      </c>
      <c r="H15" s="13" t="str">
        <f t="shared" si="13"/>
        <v>Forecast 2020/21</v>
      </c>
      <c r="I15" s="13" t="str">
        <f t="shared" si="13"/>
        <v>Forecast 2021/22</v>
      </c>
      <c r="J15" s="13" t="str">
        <f t="shared" si="13"/>
        <v>Forecast 2022/23</v>
      </c>
      <c r="K15" s="13" t="str">
        <f t="shared" si="13"/>
        <v>Forecast 2023/24</v>
      </c>
      <c r="L15" s="13" t="str">
        <f t="shared" si="13"/>
        <v>Forecast 2024/25</v>
      </c>
      <c r="M15" s="13" t="str">
        <f t="shared" si="13"/>
        <v>Forecast 2025/26</v>
      </c>
      <c r="N15" s="13" t="str">
        <f t="shared" si="13"/>
        <v>Forecast 2026/27</v>
      </c>
      <c r="O15" s="13" t="str">
        <f t="shared" si="13"/>
        <v>Forecast 2027/28</v>
      </c>
      <c r="P15" s="6"/>
    </row>
    <row r="16" spans="1:29" x14ac:dyDescent="0.2">
      <c r="A16" s="10" t="str">
        <f>'Template names'!C23</f>
        <v>Next yr of long term forecast</v>
      </c>
      <c r="B16" s="6" t="s">
        <v>915</v>
      </c>
      <c r="C16" s="6" t="s">
        <v>916</v>
      </c>
      <c r="D16" s="6" t="s">
        <v>917</v>
      </c>
      <c r="E16" s="13" t="str">
        <f t="shared" ref="E16:O16" si="14">"Forecast "&amp;E1+8&amp;"/"&amp;RIGHT(E1,2)+9</f>
        <v>Forecast 2018/19</v>
      </c>
      <c r="F16" s="13" t="str">
        <f t="shared" si="14"/>
        <v>Forecast 2019/20</v>
      </c>
      <c r="G16" s="13" t="str">
        <f t="shared" si="14"/>
        <v>Forecast 2020/21</v>
      </c>
      <c r="H16" s="13" t="str">
        <f t="shared" si="14"/>
        <v>Forecast 2021/22</v>
      </c>
      <c r="I16" s="13" t="str">
        <f t="shared" si="14"/>
        <v>Forecast 2022/23</v>
      </c>
      <c r="J16" s="13" t="str">
        <f t="shared" si="14"/>
        <v>Forecast 2023/24</v>
      </c>
      <c r="K16" s="13" t="str">
        <f t="shared" si="14"/>
        <v>Forecast 2024/25</v>
      </c>
      <c r="L16" s="13" t="str">
        <f t="shared" si="14"/>
        <v>Forecast 2025/26</v>
      </c>
      <c r="M16" s="13" t="str">
        <f t="shared" si="14"/>
        <v>Forecast 2026/27</v>
      </c>
      <c r="N16" s="13" t="str">
        <f t="shared" si="14"/>
        <v>Forecast 2027/28</v>
      </c>
      <c r="O16" s="13" t="str">
        <f t="shared" si="14"/>
        <v>Forecast 2028/29</v>
      </c>
      <c r="P16" s="6"/>
      <c r="Z16" s="2" t="s">
        <v>534</v>
      </c>
      <c r="AA16" s="2" t="s">
        <v>535</v>
      </c>
    </row>
    <row r="17" spans="1:27" x14ac:dyDescent="0.2">
      <c r="A17" s="10" t="str">
        <f>'Template names'!C24</f>
        <v>Next yr of long term forecast</v>
      </c>
      <c r="B17" s="6" t="s">
        <v>916</v>
      </c>
      <c r="C17" s="6" t="s">
        <v>917</v>
      </c>
      <c r="D17" s="6" t="s">
        <v>1541</v>
      </c>
      <c r="E17" s="13" t="str">
        <f t="shared" ref="E17:O17" si="15">"Forecast "&amp;E1+9&amp;"/"&amp;RIGHT(E1,2)+10</f>
        <v>Forecast 2019/20</v>
      </c>
      <c r="F17" s="13" t="str">
        <f t="shared" si="15"/>
        <v>Forecast 2020/21</v>
      </c>
      <c r="G17" s="13" t="str">
        <f t="shared" si="15"/>
        <v>Forecast 2021/22</v>
      </c>
      <c r="H17" s="13" t="str">
        <f t="shared" si="15"/>
        <v>Forecast 2022/23</v>
      </c>
      <c r="I17" s="13" t="str">
        <f t="shared" si="15"/>
        <v>Forecast 2023/24</v>
      </c>
      <c r="J17" s="13" t="str">
        <f t="shared" si="15"/>
        <v>Forecast 2024/25</v>
      </c>
      <c r="K17" s="13" t="str">
        <f t="shared" si="15"/>
        <v>Forecast 2025/26</v>
      </c>
      <c r="L17" s="13" t="str">
        <f t="shared" si="15"/>
        <v>Forecast 2026/27</v>
      </c>
      <c r="M17" s="13" t="str">
        <f t="shared" si="15"/>
        <v>Forecast 2027/28</v>
      </c>
      <c r="N17" s="13" t="str">
        <f t="shared" si="15"/>
        <v>Forecast 2028/29</v>
      </c>
      <c r="O17" s="13" t="str">
        <f t="shared" si="15"/>
        <v>Forecast 2029/30</v>
      </c>
      <c r="P17" s="6"/>
      <c r="Z17" s="2" t="s">
        <v>21</v>
      </c>
      <c r="AA17" s="2" t="s">
        <v>536</v>
      </c>
    </row>
    <row r="18" spans="1:27" x14ac:dyDescent="0.2">
      <c r="A18" s="10" t="str">
        <f>'Template names'!C25</f>
        <v>Next yr of long term forecast</v>
      </c>
      <c r="B18" s="6" t="s">
        <v>917</v>
      </c>
      <c r="C18" s="6" t="s">
        <v>1541</v>
      </c>
      <c r="D18" s="6" t="s">
        <v>1540</v>
      </c>
      <c r="E18" s="13" t="str">
        <f t="shared" ref="E18:O18" si="16">"Forecast "&amp;E1+10&amp;"/"&amp;RIGHT(E1,2)+11</f>
        <v>Forecast 2020/21</v>
      </c>
      <c r="F18" s="13" t="str">
        <f t="shared" si="16"/>
        <v>Forecast 2021/22</v>
      </c>
      <c r="G18" s="13" t="str">
        <f t="shared" si="16"/>
        <v>Forecast 2022/23</v>
      </c>
      <c r="H18" s="13" t="str">
        <f t="shared" si="16"/>
        <v>Forecast 2023/24</v>
      </c>
      <c r="I18" s="13" t="str">
        <f t="shared" si="16"/>
        <v>Forecast 2024/25</v>
      </c>
      <c r="J18" s="13" t="str">
        <f t="shared" si="16"/>
        <v>Forecast 2025/26</v>
      </c>
      <c r="K18" s="13" t="str">
        <f t="shared" si="16"/>
        <v>Forecast 2026/27</v>
      </c>
      <c r="L18" s="13" t="str">
        <f t="shared" si="16"/>
        <v>Forecast 2027/28</v>
      </c>
      <c r="M18" s="13" t="str">
        <f t="shared" si="16"/>
        <v>Forecast 2028/29</v>
      </c>
      <c r="N18" s="13" t="str">
        <f t="shared" si="16"/>
        <v>Forecast 2029/30</v>
      </c>
      <c r="O18" s="13" t="str">
        <f t="shared" si="16"/>
        <v>Forecast 2030/31</v>
      </c>
      <c r="P18" s="6"/>
      <c r="Z18" s="2" t="s">
        <v>24</v>
      </c>
      <c r="AA18" s="2" t="s">
        <v>22</v>
      </c>
    </row>
    <row r="19" spans="1:27" x14ac:dyDescent="0.2">
      <c r="A19" s="10" t="str">
        <f>'Template names'!C26</f>
        <v>Next yr of long term forecast</v>
      </c>
      <c r="B19" s="6" t="s">
        <v>1541</v>
      </c>
      <c r="C19" s="6" t="s">
        <v>1540</v>
      </c>
      <c r="D19" s="6" t="s">
        <v>918</v>
      </c>
      <c r="E19" s="13" t="str">
        <f t="shared" ref="E19:O19" si="17">"Forecast "&amp;E1+11&amp;"/"&amp;RIGHT(E1,2)+12</f>
        <v>Forecast 2021/22</v>
      </c>
      <c r="F19" s="13" t="str">
        <f t="shared" si="17"/>
        <v>Forecast 2022/23</v>
      </c>
      <c r="G19" s="13" t="str">
        <f t="shared" si="17"/>
        <v>Forecast 2023/24</v>
      </c>
      <c r="H19" s="13" t="str">
        <f t="shared" si="17"/>
        <v>Forecast 2024/25</v>
      </c>
      <c r="I19" s="13" t="str">
        <f t="shared" si="17"/>
        <v>Forecast 2025/26</v>
      </c>
      <c r="J19" s="13" t="str">
        <f t="shared" si="17"/>
        <v>Forecast 2026/27</v>
      </c>
      <c r="K19" s="13" t="str">
        <f t="shared" si="17"/>
        <v>Forecast 2027/28</v>
      </c>
      <c r="L19" s="13" t="str">
        <f t="shared" si="17"/>
        <v>Forecast 2028/29</v>
      </c>
      <c r="M19" s="13" t="str">
        <f t="shared" si="17"/>
        <v>Forecast 2029/30</v>
      </c>
      <c r="N19" s="13" t="str">
        <f t="shared" si="17"/>
        <v>Forecast 2030/31</v>
      </c>
      <c r="O19" s="13" t="str">
        <f t="shared" si="17"/>
        <v>Forecast 2031/32</v>
      </c>
      <c r="P19" s="6"/>
      <c r="Z19" s="2" t="s">
        <v>28</v>
      </c>
      <c r="AA19" s="2" t="s">
        <v>23</v>
      </c>
    </row>
    <row r="20" spans="1:27" x14ac:dyDescent="0.2">
      <c r="A20" s="10" t="str">
        <f>'Template names'!C27</f>
        <v>Next yr of long term forecast</v>
      </c>
      <c r="B20" s="6" t="s">
        <v>1540</v>
      </c>
      <c r="C20" s="6" t="s">
        <v>918</v>
      </c>
      <c r="D20" s="6" t="s">
        <v>1616</v>
      </c>
      <c r="E20" s="13" t="str">
        <f t="shared" ref="E20:O20" si="18">"Forecast "&amp;E1+12&amp;"/"&amp;RIGHT(E1,2)+13</f>
        <v>Forecast 2022/23</v>
      </c>
      <c r="F20" s="13" t="str">
        <f t="shared" si="18"/>
        <v>Forecast 2023/24</v>
      </c>
      <c r="G20" s="13" t="str">
        <f t="shared" si="18"/>
        <v>Forecast 2024/25</v>
      </c>
      <c r="H20" s="13" t="str">
        <f t="shared" si="18"/>
        <v>Forecast 2025/26</v>
      </c>
      <c r="I20" s="13" t="str">
        <f t="shared" si="18"/>
        <v>Forecast 2026/27</v>
      </c>
      <c r="J20" s="13" t="str">
        <f t="shared" si="18"/>
        <v>Forecast 2027/28</v>
      </c>
      <c r="K20" s="13" t="str">
        <f t="shared" si="18"/>
        <v>Forecast 2028/29</v>
      </c>
      <c r="L20" s="13" t="str">
        <f t="shared" si="18"/>
        <v>Forecast 2029/30</v>
      </c>
      <c r="M20" s="13" t="str">
        <f t="shared" si="18"/>
        <v>Forecast 2030/31</v>
      </c>
      <c r="N20" s="13" t="str">
        <f t="shared" si="18"/>
        <v>Forecast 2031/32</v>
      </c>
      <c r="O20" s="13" t="str">
        <f t="shared" si="18"/>
        <v>Forecast 2032/33</v>
      </c>
      <c r="P20" s="6"/>
      <c r="Z20" s="2" t="s">
        <v>30</v>
      </c>
      <c r="AA20" s="2" t="s">
        <v>137</v>
      </c>
    </row>
    <row r="21" spans="1:27" x14ac:dyDescent="0.2">
      <c r="A21" s="10" t="str">
        <f>'Template names'!C28</f>
        <v>Next yr of long term forecast</v>
      </c>
      <c r="B21" s="6" t="s">
        <v>918</v>
      </c>
      <c r="C21" s="6" t="s">
        <v>1616</v>
      </c>
      <c r="D21" s="6" t="s">
        <v>1108</v>
      </c>
      <c r="E21" s="13" t="str">
        <f t="shared" ref="E21:O21" si="19">"Forecast "&amp;E1+13&amp;"/"&amp;RIGHT(E1,2)+14</f>
        <v>Forecast 2023/24</v>
      </c>
      <c r="F21" s="13" t="str">
        <f t="shared" si="19"/>
        <v>Forecast 2024/25</v>
      </c>
      <c r="G21" s="13" t="str">
        <f t="shared" si="19"/>
        <v>Forecast 2025/26</v>
      </c>
      <c r="H21" s="13" t="str">
        <f t="shared" si="19"/>
        <v>Forecast 2026/27</v>
      </c>
      <c r="I21" s="13" t="str">
        <f t="shared" si="19"/>
        <v>Forecast 2027/28</v>
      </c>
      <c r="J21" s="13" t="str">
        <f t="shared" si="19"/>
        <v>Forecast 2028/29</v>
      </c>
      <c r="K21" s="13" t="str">
        <f t="shared" si="19"/>
        <v>Forecast 2029/30</v>
      </c>
      <c r="L21" s="13" t="str">
        <f t="shared" si="19"/>
        <v>Forecast 2030/31</v>
      </c>
      <c r="M21" s="13" t="str">
        <f t="shared" si="19"/>
        <v>Forecast 2031/32</v>
      </c>
      <c r="N21" s="13" t="str">
        <f t="shared" si="19"/>
        <v>Forecast 2032/33</v>
      </c>
      <c r="O21" s="13" t="str">
        <f t="shared" si="19"/>
        <v>Forecast 2033/34</v>
      </c>
      <c r="P21" s="6"/>
      <c r="Z21" s="2" t="s">
        <v>1559</v>
      </c>
      <c r="AA21" s="2" t="s">
        <v>25</v>
      </c>
    </row>
    <row r="22" spans="1:27" x14ac:dyDescent="0.2">
      <c r="A22" s="10" t="str">
        <f>'Template names'!C29</f>
        <v>Next yr of long term forecast</v>
      </c>
      <c r="B22" s="6" t="s">
        <v>1616</v>
      </c>
      <c r="C22" s="6" t="s">
        <v>1108</v>
      </c>
      <c r="D22" s="6" t="s">
        <v>1370</v>
      </c>
      <c r="E22" s="13" t="str">
        <f t="shared" ref="E22:O22" si="20">"Forecast "&amp;E1+14&amp;"/"&amp;RIGHT(E1,2)+15</f>
        <v>Forecast 2024/25</v>
      </c>
      <c r="F22" s="13" t="str">
        <f t="shared" si="20"/>
        <v>Forecast 2025/26</v>
      </c>
      <c r="G22" s="13" t="str">
        <f t="shared" si="20"/>
        <v>Forecast 2026/27</v>
      </c>
      <c r="H22" s="13" t="str">
        <f t="shared" si="20"/>
        <v>Forecast 2027/28</v>
      </c>
      <c r="I22" s="13" t="str">
        <f t="shared" si="20"/>
        <v>Forecast 2028/29</v>
      </c>
      <c r="J22" s="13" t="str">
        <f t="shared" si="20"/>
        <v>Forecast 2029/30</v>
      </c>
      <c r="K22" s="13" t="str">
        <f t="shared" si="20"/>
        <v>Forecast 2030/31</v>
      </c>
      <c r="L22" s="13" t="str">
        <f t="shared" si="20"/>
        <v>Forecast 2031/32</v>
      </c>
      <c r="M22" s="13" t="str">
        <f t="shared" si="20"/>
        <v>Forecast 2032/33</v>
      </c>
      <c r="N22" s="13" t="str">
        <f t="shared" si="20"/>
        <v>Forecast 2033/34</v>
      </c>
      <c r="O22" s="13" t="str">
        <f t="shared" si="20"/>
        <v>Forecast 2034/35</v>
      </c>
      <c r="P22" s="6"/>
      <c r="Z22" s="2" t="s">
        <v>1981</v>
      </c>
      <c r="AA22" s="2" t="s">
        <v>26</v>
      </c>
    </row>
    <row r="23" spans="1:27" x14ac:dyDescent="0.2">
      <c r="A23" s="10" t="s">
        <v>1373</v>
      </c>
      <c r="B23" s="6" t="s">
        <v>1728</v>
      </c>
      <c r="C23" s="6" t="s">
        <v>1109</v>
      </c>
      <c r="D23" s="6" t="s">
        <v>1371</v>
      </c>
      <c r="E23" s="13" t="str">
        <f t="shared" ref="E23:O23" si="21">"Annual target " &amp; E1&amp;"/"&amp;RIGHT(E1,2)+1</f>
        <v>Annual target 2010/11</v>
      </c>
      <c r="F23" s="13" t="str">
        <f t="shared" si="21"/>
        <v>Annual target 2011/12</v>
      </c>
      <c r="G23" s="13" t="str">
        <f t="shared" si="21"/>
        <v>Annual target 2012/13</v>
      </c>
      <c r="H23" s="13" t="str">
        <f t="shared" si="21"/>
        <v>Annual target 2013/14</v>
      </c>
      <c r="I23" s="13" t="str">
        <f t="shared" si="21"/>
        <v>Annual target 2014/15</v>
      </c>
      <c r="J23" s="13" t="str">
        <f t="shared" si="21"/>
        <v>Annual target 2015/16</v>
      </c>
      <c r="K23" s="13" t="str">
        <f t="shared" si="21"/>
        <v>Annual target 2016/17</v>
      </c>
      <c r="L23" s="13" t="str">
        <f t="shared" si="21"/>
        <v>Annual target 2017/18</v>
      </c>
      <c r="M23" s="13" t="str">
        <f t="shared" si="21"/>
        <v>Annual target 2018/19</v>
      </c>
      <c r="N23" s="13" t="str">
        <f t="shared" si="21"/>
        <v>Annual target 2019/20</v>
      </c>
      <c r="O23" s="13" t="str">
        <f t="shared" si="21"/>
        <v>Annual target 2020/21</v>
      </c>
      <c r="P23" s="6"/>
      <c r="Z23" s="2" t="s">
        <v>1982</v>
      </c>
      <c r="AA23" s="2" t="s">
        <v>27</v>
      </c>
    </row>
    <row r="24" spans="1:27" x14ac:dyDescent="0.2">
      <c r="A24" s="11" t="str">
        <f>A23</f>
        <v>Adjustments Budget</v>
      </c>
      <c r="B24" s="19" t="s">
        <v>1729</v>
      </c>
      <c r="C24" s="19" t="s">
        <v>1110</v>
      </c>
      <c r="D24" s="19" t="s">
        <v>1372</v>
      </c>
      <c r="E24" s="14" t="str">
        <f t="shared" ref="E24:O24" si="22">"Revised target "&amp; E1&amp;"/"&amp;RIGHT(E1,2)+1</f>
        <v>Revised target 2010/11</v>
      </c>
      <c r="F24" s="14" t="str">
        <f t="shared" si="22"/>
        <v>Revised target 2011/12</v>
      </c>
      <c r="G24" s="14" t="str">
        <f t="shared" si="22"/>
        <v>Revised target 2012/13</v>
      </c>
      <c r="H24" s="14" t="str">
        <f t="shared" si="22"/>
        <v>Revised target 2013/14</v>
      </c>
      <c r="I24" s="14" t="str">
        <f t="shared" si="22"/>
        <v>Revised target 2014/15</v>
      </c>
      <c r="J24" s="14" t="str">
        <f t="shared" si="22"/>
        <v>Revised target 2015/16</v>
      </c>
      <c r="K24" s="14" t="str">
        <f t="shared" si="22"/>
        <v>Revised target 2016/17</v>
      </c>
      <c r="L24" s="14" t="str">
        <f t="shared" si="22"/>
        <v>Revised target 2017/18</v>
      </c>
      <c r="M24" s="14" t="str">
        <f t="shared" si="22"/>
        <v>Revised target 2018/19</v>
      </c>
      <c r="N24" s="14" t="str">
        <f t="shared" si="22"/>
        <v>Revised target 2019/20</v>
      </c>
      <c r="O24" s="14" t="str">
        <f t="shared" si="22"/>
        <v>Revised target 2020/21</v>
      </c>
      <c r="P24" s="6"/>
      <c r="Z24" s="2" t="s">
        <v>1987</v>
      </c>
      <c r="AA24" s="2" t="s">
        <v>29</v>
      </c>
    </row>
    <row r="25" spans="1:27" ht="18" x14ac:dyDescent="0.4">
      <c r="A25" s="1022" t="s">
        <v>541</v>
      </c>
      <c r="Z25" s="2" t="s">
        <v>1528</v>
      </c>
      <c r="AA25" s="2" t="s">
        <v>1084</v>
      </c>
    </row>
    <row r="26" spans="1:27" x14ac:dyDescent="0.2">
      <c r="Z26" s="2" t="s">
        <v>136</v>
      </c>
      <c r="AA26" s="2" t="s">
        <v>320</v>
      </c>
    </row>
    <row r="27" spans="1:27" ht="12.5" x14ac:dyDescent="0.25">
      <c r="A27" s="1519" t="s">
        <v>93</v>
      </c>
      <c r="B27" s="1519">
        <v>95</v>
      </c>
      <c r="C27" s="1519"/>
      <c r="D27" s="1519"/>
      <c r="Z27" s="2" t="s">
        <v>882</v>
      </c>
      <c r="AA27" s="2" t="s">
        <v>138</v>
      </c>
    </row>
    <row r="28" spans="1:27" ht="12.5" x14ac:dyDescent="0.25">
      <c r="A28" s="1519" t="s">
        <v>92</v>
      </c>
      <c r="B28" s="1519" t="str">
        <f>INDEX(B29:B307,B27,1)</f>
        <v>KZN225 Msunduzi</v>
      </c>
      <c r="C28" s="1519"/>
      <c r="D28" s="1519"/>
      <c r="Z28" s="2" t="s">
        <v>292</v>
      </c>
      <c r="AA28" s="2" t="s">
        <v>2</v>
      </c>
    </row>
    <row r="29" spans="1:27" ht="12.5" x14ac:dyDescent="0.25">
      <c r="A29" s="1519"/>
      <c r="B29" s="1519" t="s">
        <v>91</v>
      </c>
      <c r="C29" s="1519" t="s">
        <v>740</v>
      </c>
      <c r="D29" s="1519"/>
      <c r="AA29" s="2" t="s">
        <v>1579</v>
      </c>
    </row>
    <row r="30" spans="1:27" ht="12.5" x14ac:dyDescent="0.25">
      <c r="A30" s="1519"/>
      <c r="B30" s="1532" t="s">
        <v>2260</v>
      </c>
      <c r="C30" s="1446" t="s">
        <v>117</v>
      </c>
      <c r="D30" s="1519"/>
      <c r="AA30" s="2" t="s">
        <v>503</v>
      </c>
    </row>
    <row r="31" spans="1:27" ht="12.5" x14ac:dyDescent="0.25">
      <c r="A31" s="1519"/>
      <c r="B31" s="1532" t="s">
        <v>2261</v>
      </c>
      <c r="C31" s="1448" t="s">
        <v>117</v>
      </c>
      <c r="D31" s="1519"/>
      <c r="AA31" s="2" t="s">
        <v>1</v>
      </c>
    </row>
    <row r="32" spans="1:27" ht="12.5" x14ac:dyDescent="0.25">
      <c r="A32" s="1519"/>
      <c r="B32" s="1532" t="s">
        <v>1185</v>
      </c>
      <c r="C32" s="1446" t="s">
        <v>117</v>
      </c>
      <c r="D32" s="1519"/>
      <c r="AA32" s="2" t="s">
        <v>339</v>
      </c>
    </row>
    <row r="33" spans="1:27" ht="12.5" x14ac:dyDescent="0.25">
      <c r="A33" s="1519"/>
      <c r="B33" s="1532" t="s">
        <v>1186</v>
      </c>
      <c r="C33" s="1446" t="s">
        <v>117</v>
      </c>
      <c r="D33" s="1519"/>
      <c r="AA33" s="2" t="s">
        <v>0</v>
      </c>
    </row>
    <row r="34" spans="1:27" ht="12.5" x14ac:dyDescent="0.25">
      <c r="A34" s="1519"/>
      <c r="B34" s="1532" t="s">
        <v>1187</v>
      </c>
      <c r="C34" s="1446" t="s">
        <v>117</v>
      </c>
      <c r="D34" s="1519"/>
      <c r="AA34" s="2" t="s">
        <v>1580</v>
      </c>
    </row>
    <row r="35" spans="1:27" ht="12.5" x14ac:dyDescent="0.25">
      <c r="A35" s="1519"/>
      <c r="B35" s="1532" t="s">
        <v>1188</v>
      </c>
      <c r="C35" s="1446" t="s">
        <v>117</v>
      </c>
      <c r="D35" s="1519"/>
      <c r="AA35" s="2" t="s">
        <v>959</v>
      </c>
    </row>
    <row r="36" spans="1:27" ht="12.5" x14ac:dyDescent="0.25">
      <c r="A36" s="1519"/>
      <c r="B36" s="1532" t="s">
        <v>1189</v>
      </c>
      <c r="C36" s="1446" t="s">
        <v>117</v>
      </c>
      <c r="D36" s="1519"/>
      <c r="AA36" s="2" t="s">
        <v>1515</v>
      </c>
    </row>
    <row r="37" spans="1:27" ht="12.5" x14ac:dyDescent="0.25">
      <c r="A37" s="1519"/>
      <c r="B37" s="1532" t="s">
        <v>1190</v>
      </c>
      <c r="C37" s="1448" t="s">
        <v>117</v>
      </c>
      <c r="D37" s="1519"/>
      <c r="AA37" s="2" t="s">
        <v>1281</v>
      </c>
    </row>
    <row r="38" spans="1:27" ht="12.5" x14ac:dyDescent="0.25">
      <c r="A38" s="1519"/>
      <c r="B38" s="1532" t="s">
        <v>1191</v>
      </c>
      <c r="C38" s="1446" t="s">
        <v>117</v>
      </c>
      <c r="D38" s="1519"/>
      <c r="AA38" s="2" t="s">
        <v>722</v>
      </c>
    </row>
    <row r="39" spans="1:27" ht="12.5" x14ac:dyDescent="0.25">
      <c r="A39" s="1519"/>
      <c r="B39" s="1532" t="s">
        <v>1192</v>
      </c>
      <c r="C39" s="2005" t="s">
        <v>117</v>
      </c>
      <c r="D39" s="1519"/>
      <c r="AA39" s="2" t="s">
        <v>501</v>
      </c>
    </row>
    <row r="40" spans="1:27" ht="12.5" x14ac:dyDescent="0.25">
      <c r="A40" s="1519"/>
      <c r="B40" s="1532" t="s">
        <v>1891</v>
      </c>
      <c r="C40" s="2005" t="s">
        <v>117</v>
      </c>
      <c r="D40" s="1519"/>
      <c r="AA40" s="2" t="s">
        <v>31</v>
      </c>
    </row>
    <row r="41" spans="1:27" ht="12.5" x14ac:dyDescent="0.25">
      <c r="A41" s="1519"/>
      <c r="B41" s="1532" t="s">
        <v>1031</v>
      </c>
      <c r="C41" s="2006" t="s">
        <v>117</v>
      </c>
      <c r="D41" s="1519"/>
      <c r="AA41" s="2" t="s">
        <v>1253</v>
      </c>
    </row>
    <row r="42" spans="1:27" ht="12.5" x14ac:dyDescent="0.25">
      <c r="A42" s="1519"/>
      <c r="B42" s="1532" t="s">
        <v>1193</v>
      </c>
      <c r="C42" s="2006" t="s">
        <v>117</v>
      </c>
      <c r="D42" s="1519"/>
      <c r="AA42" s="2" t="s">
        <v>502</v>
      </c>
    </row>
    <row r="43" spans="1:27" ht="12.5" x14ac:dyDescent="0.25">
      <c r="A43" s="1519"/>
      <c r="B43" s="1532" t="s">
        <v>1194</v>
      </c>
      <c r="C43" s="2006" t="s">
        <v>117</v>
      </c>
      <c r="D43" s="1519"/>
      <c r="AA43" s="2" t="s">
        <v>630</v>
      </c>
    </row>
    <row r="44" spans="1:27" ht="12.5" x14ac:dyDescent="0.25">
      <c r="A44" s="1519"/>
      <c r="B44" s="1532" t="s">
        <v>1195</v>
      </c>
      <c r="C44" s="2006" t="s">
        <v>117</v>
      </c>
      <c r="D44" s="1519"/>
      <c r="AA44" s="2" t="s">
        <v>1983</v>
      </c>
    </row>
    <row r="45" spans="1:27" ht="12.5" x14ac:dyDescent="0.25">
      <c r="A45" s="1519"/>
      <c r="B45" s="1532" t="s">
        <v>1196</v>
      </c>
      <c r="C45" s="2006" t="s">
        <v>117</v>
      </c>
      <c r="D45" s="1519"/>
      <c r="AA45" s="2" t="s">
        <v>1984</v>
      </c>
    </row>
    <row r="46" spans="1:27" ht="12.5" x14ac:dyDescent="0.25">
      <c r="A46" s="1519"/>
      <c r="B46" s="1532" t="s">
        <v>1197</v>
      </c>
      <c r="C46" s="2006" t="s">
        <v>117</v>
      </c>
      <c r="D46" s="1519"/>
      <c r="AA46" s="2" t="s">
        <v>1985</v>
      </c>
    </row>
    <row r="47" spans="1:27" ht="12.5" x14ac:dyDescent="0.25">
      <c r="A47" s="1519"/>
      <c r="B47" s="1532" t="s">
        <v>1198</v>
      </c>
      <c r="C47" s="2006" t="s">
        <v>117</v>
      </c>
      <c r="D47" s="1519"/>
      <c r="AA47" s="2" t="s">
        <v>1986</v>
      </c>
    </row>
    <row r="48" spans="1:27" ht="12.5" x14ac:dyDescent="0.25">
      <c r="A48" s="1519"/>
      <c r="B48" s="1532" t="s">
        <v>1199</v>
      </c>
      <c r="C48" s="2006" t="s">
        <v>117</v>
      </c>
      <c r="D48" s="1519"/>
      <c r="AA48" s="2" t="s">
        <v>1241</v>
      </c>
    </row>
    <row r="49" spans="1:27" ht="12.5" x14ac:dyDescent="0.25">
      <c r="A49" s="1519"/>
      <c r="B49" s="1532" t="s">
        <v>1753</v>
      </c>
      <c r="C49" s="2006" t="s">
        <v>117</v>
      </c>
      <c r="D49" s="1519"/>
      <c r="AA49" s="2" t="s">
        <v>631</v>
      </c>
    </row>
    <row r="50" spans="1:27" ht="12.5" x14ac:dyDescent="0.25">
      <c r="A50" s="1519"/>
      <c r="B50" s="1532" t="s">
        <v>1200</v>
      </c>
      <c r="C50" s="2006" t="s">
        <v>117</v>
      </c>
      <c r="D50" s="1519"/>
      <c r="AA50" s="2" t="s">
        <v>632</v>
      </c>
    </row>
    <row r="51" spans="1:27" ht="12.5" x14ac:dyDescent="0.25">
      <c r="A51" s="1519"/>
      <c r="B51" s="1532" t="s">
        <v>1201</v>
      </c>
      <c r="C51" s="2005" t="s">
        <v>117</v>
      </c>
      <c r="D51" s="1519"/>
      <c r="AA51" s="2" t="s">
        <v>1242</v>
      </c>
    </row>
    <row r="52" spans="1:27" ht="12.5" x14ac:dyDescent="0.25">
      <c r="A52" s="1519"/>
      <c r="B52" s="1532" t="s">
        <v>1202</v>
      </c>
      <c r="C52" s="2005" t="s">
        <v>117</v>
      </c>
      <c r="D52" s="1519"/>
      <c r="AA52" s="2" t="s">
        <v>1243</v>
      </c>
    </row>
    <row r="53" spans="1:27" ht="12.5" x14ac:dyDescent="0.25">
      <c r="A53" s="1519"/>
      <c r="B53" s="1532" t="s">
        <v>181</v>
      </c>
      <c r="C53" s="2005" t="s">
        <v>117</v>
      </c>
      <c r="D53" s="1519"/>
      <c r="AA53" s="2" t="s">
        <v>1513</v>
      </c>
    </row>
    <row r="54" spans="1:27" ht="12.5" x14ac:dyDescent="0.25">
      <c r="A54" s="1519"/>
      <c r="B54" s="1532" t="s">
        <v>182</v>
      </c>
      <c r="C54" s="2005" t="s">
        <v>117</v>
      </c>
      <c r="D54" s="1519"/>
      <c r="AA54" s="2" t="s">
        <v>322</v>
      </c>
    </row>
    <row r="55" spans="1:27" ht="12.5" x14ac:dyDescent="0.25">
      <c r="A55" s="1519"/>
      <c r="B55" s="1532" t="s">
        <v>2269</v>
      </c>
      <c r="C55" s="2005" t="s">
        <v>117</v>
      </c>
      <c r="D55" s="1519"/>
      <c r="AA55" s="2" t="s">
        <v>321</v>
      </c>
    </row>
    <row r="56" spans="1:27" ht="12.5" x14ac:dyDescent="0.25">
      <c r="A56" s="1519"/>
      <c r="B56" s="1532" t="s">
        <v>183</v>
      </c>
      <c r="C56" s="2005" t="s">
        <v>117</v>
      </c>
      <c r="D56" s="1519"/>
      <c r="AA56" s="2" t="s">
        <v>633</v>
      </c>
    </row>
    <row r="57" spans="1:27" ht="12.5" x14ac:dyDescent="0.25">
      <c r="A57" s="1519"/>
      <c r="B57" s="1532" t="s">
        <v>184</v>
      </c>
      <c r="C57" s="1445" t="s">
        <v>117</v>
      </c>
      <c r="D57" s="1519"/>
      <c r="AA57" s="2" t="s">
        <v>970</v>
      </c>
    </row>
    <row r="58" spans="1:27" ht="12.5" x14ac:dyDescent="0.25">
      <c r="A58" s="1519"/>
      <c r="B58" s="1532" t="s">
        <v>1740</v>
      </c>
      <c r="C58" s="1452" t="s">
        <v>117</v>
      </c>
      <c r="D58" s="1519"/>
      <c r="AA58" s="2" t="s">
        <v>292</v>
      </c>
    </row>
    <row r="59" spans="1:27" ht="12.5" x14ac:dyDescent="0.25">
      <c r="A59" s="1519"/>
      <c r="B59" s="1532" t="s">
        <v>185</v>
      </c>
      <c r="C59" s="1452" t="s">
        <v>117</v>
      </c>
      <c r="D59" s="1519"/>
    </row>
    <row r="60" spans="1:27" ht="12.5" x14ac:dyDescent="0.25">
      <c r="A60" s="1519"/>
      <c r="B60" s="1532" t="s">
        <v>186</v>
      </c>
      <c r="C60" s="2005" t="s">
        <v>117</v>
      </c>
      <c r="D60" s="1519"/>
      <c r="Z60" s="1167" t="s">
        <v>2257</v>
      </c>
      <c r="AA60" s="1167"/>
    </row>
    <row r="61" spans="1:27" ht="12.5" x14ac:dyDescent="0.25">
      <c r="A61" s="1519"/>
      <c r="B61" s="1532" t="s">
        <v>187</v>
      </c>
      <c r="C61" s="2005" t="s">
        <v>117</v>
      </c>
      <c r="D61" s="1519"/>
      <c r="Z61" s="2321" t="s">
        <v>2065</v>
      </c>
      <c r="AA61" s="2321" t="s">
        <v>2066</v>
      </c>
    </row>
    <row r="62" spans="1:27" ht="12.5" x14ac:dyDescent="0.25">
      <c r="A62" s="1519"/>
      <c r="B62" s="1532" t="s">
        <v>856</v>
      </c>
      <c r="C62" s="2005" t="s">
        <v>117</v>
      </c>
      <c r="D62" s="1519"/>
      <c r="Z62" s="2322" t="s">
        <v>425</v>
      </c>
      <c r="AA62" s="2322" t="s">
        <v>2064</v>
      </c>
    </row>
    <row r="63" spans="1:27" ht="12.5" x14ac:dyDescent="0.25">
      <c r="A63" s="1519"/>
      <c r="B63" s="1532" t="s">
        <v>1888</v>
      </c>
      <c r="C63" s="2005" t="s">
        <v>117</v>
      </c>
      <c r="D63" s="1519"/>
      <c r="Z63" s="2322" t="s">
        <v>827</v>
      </c>
      <c r="AA63" s="2322" t="s">
        <v>1677</v>
      </c>
    </row>
    <row r="64" spans="1:27" ht="12.5" x14ac:dyDescent="0.25">
      <c r="A64" s="1519"/>
      <c r="B64" s="1532" t="s">
        <v>1756</v>
      </c>
      <c r="C64" s="2006" t="s">
        <v>117</v>
      </c>
      <c r="D64" s="1519"/>
    </row>
    <row r="65" spans="1:26" ht="12.5" x14ac:dyDescent="0.25">
      <c r="A65" s="1519"/>
      <c r="B65" s="1532" t="s">
        <v>857</v>
      </c>
      <c r="C65" s="2005" t="s">
        <v>117</v>
      </c>
      <c r="D65" s="1519"/>
    </row>
    <row r="66" spans="1:26" ht="12.5" x14ac:dyDescent="0.25">
      <c r="A66" s="1519"/>
      <c r="B66" s="1532" t="s">
        <v>858</v>
      </c>
      <c r="C66" s="2005" t="s">
        <v>117</v>
      </c>
      <c r="D66" s="1519"/>
      <c r="Z66" s="1167" t="s">
        <v>2258</v>
      </c>
    </row>
    <row r="67" spans="1:26" ht="12.5" x14ac:dyDescent="0.25">
      <c r="A67" s="1519"/>
      <c r="B67" s="1532" t="s">
        <v>859</v>
      </c>
      <c r="C67" s="2005" t="s">
        <v>117</v>
      </c>
      <c r="D67" s="1519"/>
      <c r="Z67" s="2" t="s">
        <v>425</v>
      </c>
    </row>
    <row r="68" spans="1:26" ht="12.5" x14ac:dyDescent="0.25">
      <c r="A68" s="1519"/>
      <c r="B68" s="1532" t="s">
        <v>860</v>
      </c>
      <c r="C68" s="2005" t="s">
        <v>117</v>
      </c>
      <c r="D68" s="1519"/>
      <c r="Z68" s="2" t="s">
        <v>827</v>
      </c>
    </row>
    <row r="69" spans="1:26" ht="12.5" x14ac:dyDescent="0.25">
      <c r="A69" s="1519"/>
      <c r="B69" s="1532" t="s">
        <v>1742</v>
      </c>
      <c r="C69" s="2005" t="s">
        <v>117</v>
      </c>
      <c r="D69" s="1519"/>
    </row>
    <row r="70" spans="1:26" ht="12.5" x14ac:dyDescent="0.25">
      <c r="A70" s="1519"/>
      <c r="B70" s="1532" t="s">
        <v>1757</v>
      </c>
      <c r="C70" s="2005" t="s">
        <v>117</v>
      </c>
      <c r="D70" s="1519"/>
    </row>
    <row r="71" spans="1:26" ht="12.5" x14ac:dyDescent="0.25">
      <c r="A71" s="1519"/>
      <c r="B71" s="1532" t="s">
        <v>1758</v>
      </c>
      <c r="C71" s="2005" t="s">
        <v>117</v>
      </c>
      <c r="D71" s="1519"/>
    </row>
    <row r="72" spans="1:26" ht="12.5" x14ac:dyDescent="0.25">
      <c r="A72" s="1519"/>
      <c r="B72" s="1532" t="s">
        <v>1956</v>
      </c>
      <c r="C72" s="2005" t="s">
        <v>117</v>
      </c>
      <c r="D72" s="1519"/>
    </row>
    <row r="73" spans="1:26" ht="12.5" x14ac:dyDescent="0.25">
      <c r="A73" s="1519"/>
      <c r="B73" s="1532" t="s">
        <v>1957</v>
      </c>
      <c r="C73" s="2005" t="s">
        <v>117</v>
      </c>
      <c r="D73" s="1519"/>
    </row>
    <row r="74" spans="1:26" ht="12.5" x14ac:dyDescent="0.25">
      <c r="A74" s="1519"/>
      <c r="B74" s="1532" t="s">
        <v>488</v>
      </c>
      <c r="C74" s="2005" t="s">
        <v>117</v>
      </c>
      <c r="D74" s="1519"/>
    </row>
    <row r="75" spans="1:26" ht="12.5" x14ac:dyDescent="0.25">
      <c r="A75" s="1519"/>
      <c r="B75" s="1532" t="s">
        <v>2262</v>
      </c>
      <c r="C75" s="2005" t="s">
        <v>1744</v>
      </c>
      <c r="D75" s="1519"/>
    </row>
    <row r="76" spans="1:26" ht="12.5" x14ac:dyDescent="0.25">
      <c r="A76" s="1519"/>
      <c r="B76" s="1532" t="s">
        <v>861</v>
      </c>
      <c r="C76" s="2005" t="s">
        <v>1744</v>
      </c>
      <c r="D76" s="1519"/>
    </row>
    <row r="77" spans="1:26" ht="12.5" x14ac:dyDescent="0.25">
      <c r="A77" s="1519"/>
      <c r="B77" s="1532" t="s">
        <v>862</v>
      </c>
      <c r="C77" s="2005" t="s">
        <v>1744</v>
      </c>
      <c r="D77" s="1519"/>
    </row>
    <row r="78" spans="1:26" ht="12.5" x14ac:dyDescent="0.25">
      <c r="A78" s="1519"/>
      <c r="B78" s="1532" t="s">
        <v>863</v>
      </c>
      <c r="C78" s="2005" t="s">
        <v>1744</v>
      </c>
      <c r="D78" s="1519"/>
    </row>
    <row r="79" spans="1:26" ht="12.5" x14ac:dyDescent="0.25">
      <c r="A79" s="1519"/>
      <c r="B79" s="1532" t="s">
        <v>1958</v>
      </c>
      <c r="C79" s="2005" t="s">
        <v>1744</v>
      </c>
      <c r="D79" s="1519"/>
    </row>
    <row r="80" spans="1:26" ht="12.5" x14ac:dyDescent="0.25">
      <c r="A80" s="1519"/>
      <c r="B80" s="1532" t="s">
        <v>1743</v>
      </c>
      <c r="C80" s="2005" t="s">
        <v>1744</v>
      </c>
      <c r="D80" s="1519"/>
    </row>
    <row r="81" spans="1:4" ht="12.5" x14ac:dyDescent="0.25">
      <c r="A81" s="1519"/>
      <c r="B81" s="1532" t="s">
        <v>864</v>
      </c>
      <c r="C81" s="2005" t="s">
        <v>1744</v>
      </c>
      <c r="D81" s="1519"/>
    </row>
    <row r="82" spans="1:4" ht="12.5" x14ac:dyDescent="0.25">
      <c r="A82" s="1519"/>
      <c r="B82" s="1532" t="s">
        <v>865</v>
      </c>
      <c r="C82" s="2005" t="s">
        <v>1744</v>
      </c>
      <c r="D82" s="1519"/>
    </row>
    <row r="83" spans="1:4" ht="12.5" x14ac:dyDescent="0.25">
      <c r="A83" s="1519"/>
      <c r="B83" s="1532" t="s">
        <v>866</v>
      </c>
      <c r="C83" s="2005" t="s">
        <v>1744</v>
      </c>
      <c r="D83" s="1519"/>
    </row>
    <row r="84" spans="1:4" ht="12.5" x14ac:dyDescent="0.25">
      <c r="A84" s="1519"/>
      <c r="B84" s="1532" t="s">
        <v>867</v>
      </c>
      <c r="C84" s="2005" t="s">
        <v>1744</v>
      </c>
      <c r="D84" s="1519"/>
    </row>
    <row r="85" spans="1:4" ht="12.5" x14ac:dyDescent="0.25">
      <c r="A85" s="1519"/>
      <c r="B85" s="1532" t="s">
        <v>868</v>
      </c>
      <c r="C85" s="2005" t="s">
        <v>1744</v>
      </c>
      <c r="D85" s="1519"/>
    </row>
    <row r="86" spans="1:4" ht="12.5" x14ac:dyDescent="0.25">
      <c r="A86" s="1519"/>
      <c r="B86" s="1532" t="s">
        <v>1747</v>
      </c>
      <c r="C86" s="2005" t="s">
        <v>1744</v>
      </c>
      <c r="D86" s="1519"/>
    </row>
    <row r="87" spans="1:4" ht="12.5" x14ac:dyDescent="0.25">
      <c r="A87" s="1519"/>
      <c r="B87" s="1532" t="s">
        <v>869</v>
      </c>
      <c r="C87" s="2005" t="s">
        <v>1744</v>
      </c>
      <c r="D87" s="1519"/>
    </row>
    <row r="88" spans="1:4" ht="12.5" x14ac:dyDescent="0.25">
      <c r="A88" s="1519"/>
      <c r="B88" s="1532" t="s">
        <v>870</v>
      </c>
      <c r="C88" s="2005" t="s">
        <v>1744</v>
      </c>
      <c r="D88" s="1519"/>
    </row>
    <row r="89" spans="1:4" ht="12.5" x14ac:dyDescent="0.25">
      <c r="A89" s="1519"/>
      <c r="B89" s="1532" t="s">
        <v>871</v>
      </c>
      <c r="C89" s="2005" t="s">
        <v>1744</v>
      </c>
      <c r="D89" s="1519"/>
    </row>
    <row r="90" spans="1:4" ht="12.5" x14ac:dyDescent="0.25">
      <c r="A90" s="1519"/>
      <c r="B90" s="1532" t="s">
        <v>1759</v>
      </c>
      <c r="C90" s="2005" t="s">
        <v>1744</v>
      </c>
      <c r="D90" s="1519"/>
    </row>
    <row r="91" spans="1:4" ht="12.5" x14ac:dyDescent="0.25">
      <c r="A91" s="1519"/>
      <c r="B91" s="1532" t="s">
        <v>872</v>
      </c>
      <c r="C91" s="2005" t="s">
        <v>1744</v>
      </c>
      <c r="D91" s="1519"/>
    </row>
    <row r="92" spans="1:4" ht="12.5" x14ac:dyDescent="0.25">
      <c r="A92" s="1519"/>
      <c r="B92" s="1532" t="s">
        <v>1959</v>
      </c>
      <c r="C92" s="2005" t="s">
        <v>1744</v>
      </c>
      <c r="D92" s="1519"/>
    </row>
    <row r="93" spans="1:4" ht="12.5" x14ac:dyDescent="0.25">
      <c r="A93" s="1519"/>
      <c r="B93" s="1532" t="s">
        <v>1749</v>
      </c>
      <c r="C93" s="2005" t="s">
        <v>1744</v>
      </c>
      <c r="D93" s="1519"/>
    </row>
    <row r="94" spans="1:4" ht="12.5" x14ac:dyDescent="0.25">
      <c r="A94" s="1519"/>
      <c r="B94" s="1532" t="s">
        <v>873</v>
      </c>
      <c r="C94" s="2005" t="s">
        <v>1744</v>
      </c>
      <c r="D94" s="1519"/>
    </row>
    <row r="95" spans="1:4" ht="12.5" x14ac:dyDescent="0.25">
      <c r="A95" s="1519"/>
      <c r="B95" s="1532" t="s">
        <v>874</v>
      </c>
      <c r="C95" s="2005" t="s">
        <v>1744</v>
      </c>
      <c r="D95" s="1519"/>
    </row>
    <row r="96" spans="1:4" ht="12.5" x14ac:dyDescent="0.25">
      <c r="A96" s="1519"/>
      <c r="B96" s="1532" t="s">
        <v>900</v>
      </c>
      <c r="C96" s="2005" t="s">
        <v>1744</v>
      </c>
      <c r="D96" s="1519"/>
    </row>
    <row r="97" spans="1:4" ht="12.5" x14ac:dyDescent="0.25">
      <c r="A97" s="1519"/>
      <c r="B97" s="1532" t="s">
        <v>901</v>
      </c>
      <c r="C97" s="2005" t="s">
        <v>1744</v>
      </c>
      <c r="D97" s="1519"/>
    </row>
    <row r="98" spans="1:4" ht="12.5" x14ac:dyDescent="0.25">
      <c r="A98" s="1519"/>
      <c r="B98" s="1532" t="s">
        <v>1752</v>
      </c>
      <c r="C98" s="2005" t="s">
        <v>1744</v>
      </c>
      <c r="D98" s="1519"/>
    </row>
    <row r="99" spans="1:4" ht="12.5" x14ac:dyDescent="0.25">
      <c r="A99" s="1519"/>
      <c r="B99" s="1532" t="s">
        <v>2263</v>
      </c>
      <c r="C99" s="2005" t="s">
        <v>1177</v>
      </c>
      <c r="D99" s="1519"/>
    </row>
    <row r="100" spans="1:4" ht="12.5" x14ac:dyDescent="0.25">
      <c r="A100" s="1519"/>
      <c r="B100" s="1532" t="s">
        <v>2264</v>
      </c>
      <c r="C100" s="2005" t="s">
        <v>1177</v>
      </c>
      <c r="D100" s="1519"/>
    </row>
    <row r="101" spans="1:4" ht="12.5" x14ac:dyDescent="0.25">
      <c r="A101" s="1519"/>
      <c r="B101" s="1532" t="s">
        <v>2265</v>
      </c>
      <c r="C101" s="2005" t="s">
        <v>1177</v>
      </c>
      <c r="D101" s="1519"/>
    </row>
    <row r="102" spans="1:4" ht="12.5" x14ac:dyDescent="0.25">
      <c r="A102" s="1519"/>
      <c r="B102" s="1532" t="s">
        <v>902</v>
      </c>
      <c r="C102" s="2005" t="s">
        <v>1177</v>
      </c>
      <c r="D102" s="1519"/>
    </row>
    <row r="103" spans="1:4" ht="12.5" x14ac:dyDescent="0.25">
      <c r="A103" s="1519"/>
      <c r="B103" s="1532" t="s">
        <v>903</v>
      </c>
      <c r="C103" s="2005" t="s">
        <v>1177</v>
      </c>
      <c r="D103" s="1519"/>
    </row>
    <row r="104" spans="1:4" ht="12.5" x14ac:dyDescent="0.25">
      <c r="A104" s="1519"/>
      <c r="B104" s="1532" t="s">
        <v>244</v>
      </c>
      <c r="C104" s="2005" t="s">
        <v>1177</v>
      </c>
      <c r="D104" s="1519"/>
    </row>
    <row r="105" spans="1:4" ht="12.5" x14ac:dyDescent="0.25">
      <c r="A105" s="1519"/>
      <c r="B105" s="1532" t="s">
        <v>1176</v>
      </c>
      <c r="C105" s="2005" t="s">
        <v>1177</v>
      </c>
      <c r="D105" s="1519"/>
    </row>
    <row r="106" spans="1:4" ht="12.5" x14ac:dyDescent="0.25">
      <c r="A106" s="1519"/>
      <c r="B106" s="1532" t="s">
        <v>834</v>
      </c>
      <c r="C106" s="2005" t="s">
        <v>1177</v>
      </c>
      <c r="D106" s="1519"/>
    </row>
    <row r="107" spans="1:4" ht="12.5" x14ac:dyDescent="0.25">
      <c r="A107" s="1519"/>
      <c r="B107" s="1532" t="s">
        <v>835</v>
      </c>
      <c r="C107" s="2005" t="s">
        <v>1177</v>
      </c>
      <c r="D107" s="1519"/>
    </row>
    <row r="108" spans="1:4" ht="12.5" x14ac:dyDescent="0.25">
      <c r="A108" s="1519"/>
      <c r="B108" s="1532" t="s">
        <v>836</v>
      </c>
      <c r="C108" s="2005" t="s">
        <v>1177</v>
      </c>
      <c r="D108" s="1519"/>
    </row>
    <row r="109" spans="1:4" ht="12.5" x14ac:dyDescent="0.25">
      <c r="A109" s="1519"/>
      <c r="B109" s="1532" t="s">
        <v>1892</v>
      </c>
      <c r="C109" s="2005" t="s">
        <v>1177</v>
      </c>
      <c r="D109" s="1519"/>
    </row>
    <row r="110" spans="1:4" ht="12.5" x14ac:dyDescent="0.25">
      <c r="A110" s="1519"/>
      <c r="B110" s="1532" t="s">
        <v>1179</v>
      </c>
      <c r="C110" s="2005" t="s">
        <v>1177</v>
      </c>
      <c r="D110" s="1519"/>
    </row>
    <row r="111" spans="1:4" ht="12.5" x14ac:dyDescent="0.25">
      <c r="A111" s="1519"/>
      <c r="B111" s="1532" t="s">
        <v>2266</v>
      </c>
      <c r="C111" s="2005" t="s">
        <v>1889</v>
      </c>
      <c r="D111" s="1519"/>
    </row>
    <row r="112" spans="1:4" ht="12.5" x14ac:dyDescent="0.25">
      <c r="A112" s="1519"/>
      <c r="B112" s="1532" t="s">
        <v>1760</v>
      </c>
      <c r="C112" s="2005" t="s">
        <v>1889</v>
      </c>
      <c r="D112" s="1519"/>
    </row>
    <row r="113" spans="1:4" ht="12.5" x14ac:dyDescent="0.25">
      <c r="A113" s="1519"/>
      <c r="B113" s="1532" t="s">
        <v>1761</v>
      </c>
      <c r="C113" s="1446" t="s">
        <v>1889</v>
      </c>
      <c r="D113" s="1519"/>
    </row>
    <row r="114" spans="1:4" ht="12.5" x14ac:dyDescent="0.25">
      <c r="A114" s="1519"/>
      <c r="B114" s="1532" t="s">
        <v>1762</v>
      </c>
      <c r="C114" s="1446" t="s">
        <v>1889</v>
      </c>
      <c r="D114" s="1519"/>
    </row>
    <row r="115" spans="1:4" ht="12.5" x14ac:dyDescent="0.25">
      <c r="A115" s="1519"/>
      <c r="B115" s="1532" t="s">
        <v>1763</v>
      </c>
      <c r="C115" s="1446" t="s">
        <v>1889</v>
      </c>
      <c r="D115" s="1519"/>
    </row>
    <row r="116" spans="1:4" ht="12.5" x14ac:dyDescent="0.25">
      <c r="A116" s="1519"/>
      <c r="B116" s="1532" t="s">
        <v>1893</v>
      </c>
      <c r="C116" s="1446" t="s">
        <v>1889</v>
      </c>
      <c r="D116" s="1519"/>
    </row>
    <row r="117" spans="1:4" ht="12.5" x14ac:dyDescent="0.25">
      <c r="A117" s="1519"/>
      <c r="B117" s="1532" t="s">
        <v>1764</v>
      </c>
      <c r="C117" s="1446" t="s">
        <v>1889</v>
      </c>
      <c r="D117" s="1519"/>
    </row>
    <row r="118" spans="1:4" ht="12.5" x14ac:dyDescent="0.25">
      <c r="A118" s="1519"/>
      <c r="B118" s="1532" t="s">
        <v>1133</v>
      </c>
      <c r="C118" s="1446" t="s">
        <v>1889</v>
      </c>
      <c r="D118" s="1519"/>
    </row>
    <row r="119" spans="1:4" ht="12.5" x14ac:dyDescent="0.25">
      <c r="A119" s="1519"/>
      <c r="B119" s="1532" t="s">
        <v>1765</v>
      </c>
      <c r="C119" s="1446" t="s">
        <v>1889</v>
      </c>
      <c r="D119" s="1519"/>
    </row>
    <row r="120" spans="1:4" ht="12.5" x14ac:dyDescent="0.25">
      <c r="A120" s="1519"/>
      <c r="B120" s="1532" t="s">
        <v>1766</v>
      </c>
      <c r="C120" s="1446" t="s">
        <v>1889</v>
      </c>
      <c r="D120" s="1519"/>
    </row>
    <row r="121" spans="1:4" ht="12.5" x14ac:dyDescent="0.25">
      <c r="A121" s="1519"/>
      <c r="B121" s="1532" t="s">
        <v>1767</v>
      </c>
      <c r="C121" s="1446" t="s">
        <v>1889</v>
      </c>
      <c r="D121" s="1519"/>
    </row>
    <row r="122" spans="1:4" ht="12.5" x14ac:dyDescent="0.25">
      <c r="A122" s="1519"/>
      <c r="B122" s="1532" t="s">
        <v>1768</v>
      </c>
      <c r="C122" s="1446" t="s">
        <v>1889</v>
      </c>
      <c r="D122" s="1519"/>
    </row>
    <row r="123" spans="1:4" ht="12.5" x14ac:dyDescent="0.25">
      <c r="A123" s="1519"/>
      <c r="B123" s="1532" t="s">
        <v>1769</v>
      </c>
      <c r="C123" s="1446" t="s">
        <v>1889</v>
      </c>
      <c r="D123" s="1519"/>
    </row>
    <row r="124" spans="1:4" ht="12.5" x14ac:dyDescent="0.25">
      <c r="A124" s="1519"/>
      <c r="B124" s="1532" t="s">
        <v>1770</v>
      </c>
      <c r="C124" s="1446" t="s">
        <v>1889</v>
      </c>
      <c r="D124" s="1519"/>
    </row>
    <row r="125" spans="1:4" ht="12.5" x14ac:dyDescent="0.25">
      <c r="A125" s="1519"/>
      <c r="B125" s="1532" t="s">
        <v>1771</v>
      </c>
      <c r="C125" s="1446" t="s">
        <v>1889</v>
      </c>
      <c r="D125" s="1519"/>
    </row>
    <row r="126" spans="1:4" ht="12.5" x14ac:dyDescent="0.25">
      <c r="A126" s="1519"/>
      <c r="B126" s="1532" t="s">
        <v>1135</v>
      </c>
      <c r="C126" s="1446" t="s">
        <v>1889</v>
      </c>
      <c r="D126" s="1519"/>
    </row>
    <row r="127" spans="1:4" ht="12.5" x14ac:dyDescent="0.25">
      <c r="A127" s="1519"/>
      <c r="B127" s="1532" t="s">
        <v>1772</v>
      </c>
      <c r="C127" s="1446" t="s">
        <v>1889</v>
      </c>
      <c r="D127" s="1519"/>
    </row>
    <row r="128" spans="1:4" ht="12.5" x14ac:dyDescent="0.25">
      <c r="A128" s="1519"/>
      <c r="B128" s="1532" t="s">
        <v>1773</v>
      </c>
      <c r="C128" s="1446" t="s">
        <v>1889</v>
      </c>
      <c r="D128" s="1519"/>
    </row>
    <row r="129" spans="1:4" ht="12.5" x14ac:dyDescent="0.25">
      <c r="A129" s="1519"/>
      <c r="B129" s="1532" t="s">
        <v>1774</v>
      </c>
      <c r="C129" s="1446" t="s">
        <v>1889</v>
      </c>
      <c r="D129" s="1519"/>
    </row>
    <row r="130" spans="1:4" ht="12.5" x14ac:dyDescent="0.25">
      <c r="A130" s="1519"/>
      <c r="B130" s="1532" t="s">
        <v>1775</v>
      </c>
      <c r="C130" s="1446" t="s">
        <v>1889</v>
      </c>
      <c r="D130" s="1519"/>
    </row>
    <row r="131" spans="1:4" ht="12.5" x14ac:dyDescent="0.25">
      <c r="A131" s="1519"/>
      <c r="B131" s="1532" t="s">
        <v>1776</v>
      </c>
      <c r="C131" s="1446" t="s">
        <v>1889</v>
      </c>
      <c r="D131" s="1519"/>
    </row>
    <row r="132" spans="1:4" ht="12.5" x14ac:dyDescent="0.25">
      <c r="A132" s="1519"/>
      <c r="B132" s="1532" t="s">
        <v>1137</v>
      </c>
      <c r="C132" s="1446" t="s">
        <v>1889</v>
      </c>
      <c r="D132" s="1519"/>
    </row>
    <row r="133" spans="1:4" ht="12.5" x14ac:dyDescent="0.25">
      <c r="A133" s="1519"/>
      <c r="B133" s="1532" t="s">
        <v>1777</v>
      </c>
      <c r="C133" s="2005" t="s">
        <v>1889</v>
      </c>
      <c r="D133" s="1519"/>
    </row>
    <row r="134" spans="1:4" ht="12.5" x14ac:dyDescent="0.25">
      <c r="A134" s="1519"/>
      <c r="B134" s="1532" t="s">
        <v>1778</v>
      </c>
      <c r="C134" s="2005" t="s">
        <v>1889</v>
      </c>
      <c r="D134" s="1519"/>
    </row>
    <row r="135" spans="1:4" ht="12.5" x14ac:dyDescent="0.25">
      <c r="A135" s="1519"/>
      <c r="B135" s="1532" t="s">
        <v>1779</v>
      </c>
      <c r="C135" s="2005" t="s">
        <v>1889</v>
      </c>
      <c r="D135" s="1519"/>
    </row>
    <row r="136" spans="1:4" ht="12.5" x14ac:dyDescent="0.25">
      <c r="A136" s="1519"/>
      <c r="B136" s="1532" t="s">
        <v>1780</v>
      </c>
      <c r="C136" s="2005" t="s">
        <v>1889</v>
      </c>
      <c r="D136" s="1519"/>
    </row>
    <row r="137" spans="1:4" ht="12.5" x14ac:dyDescent="0.25">
      <c r="A137" s="1519"/>
      <c r="B137" s="1532" t="s">
        <v>1138</v>
      </c>
      <c r="C137" s="2005" t="s">
        <v>1889</v>
      </c>
      <c r="D137" s="1519"/>
    </row>
    <row r="138" spans="1:4" ht="12.5" x14ac:dyDescent="0.25">
      <c r="A138" s="1519"/>
      <c r="B138" s="1532" t="s">
        <v>1781</v>
      </c>
      <c r="C138" s="2005" t="s">
        <v>1889</v>
      </c>
      <c r="D138" s="1519"/>
    </row>
    <row r="139" spans="1:4" ht="12.5" x14ac:dyDescent="0.25">
      <c r="A139" s="1519"/>
      <c r="B139" s="1532" t="s">
        <v>1782</v>
      </c>
      <c r="C139" s="2005" t="s">
        <v>1889</v>
      </c>
      <c r="D139" s="1519"/>
    </row>
    <row r="140" spans="1:4" ht="12.5" x14ac:dyDescent="0.25">
      <c r="A140" s="1519"/>
      <c r="B140" s="1532" t="s">
        <v>1783</v>
      </c>
      <c r="C140" s="2005" t="s">
        <v>1889</v>
      </c>
      <c r="D140" s="1519"/>
    </row>
    <row r="141" spans="1:4" ht="12.5" x14ac:dyDescent="0.25">
      <c r="A141" s="1519"/>
      <c r="B141" s="1532" t="s">
        <v>1139</v>
      </c>
      <c r="C141" s="2005" t="s">
        <v>1889</v>
      </c>
      <c r="D141" s="1519"/>
    </row>
    <row r="142" spans="1:4" ht="12.5" x14ac:dyDescent="0.25">
      <c r="A142" s="1519"/>
      <c r="B142" s="1532" t="s">
        <v>1784</v>
      </c>
      <c r="C142" s="2005" t="s">
        <v>1889</v>
      </c>
      <c r="D142" s="1519"/>
    </row>
    <row r="143" spans="1:4" ht="12.5" x14ac:dyDescent="0.25">
      <c r="A143" s="1519"/>
      <c r="B143" s="1532" t="s">
        <v>1785</v>
      </c>
      <c r="C143" s="2006" t="s">
        <v>1889</v>
      </c>
      <c r="D143" s="1519"/>
    </row>
    <row r="144" spans="1:4" ht="12.5" x14ac:dyDescent="0.25">
      <c r="A144" s="1519"/>
      <c r="B144" s="1532" t="s">
        <v>46</v>
      </c>
      <c r="C144" s="2006" t="s">
        <v>1889</v>
      </c>
      <c r="D144" s="1519"/>
    </row>
    <row r="145" spans="1:4" ht="12.5" x14ac:dyDescent="0.25">
      <c r="A145" s="1519"/>
      <c r="B145" s="1532" t="s">
        <v>47</v>
      </c>
      <c r="C145" s="2006" t="s">
        <v>1889</v>
      </c>
      <c r="D145" s="1519"/>
    </row>
    <row r="146" spans="1:4" ht="12.5" x14ac:dyDescent="0.25">
      <c r="A146" s="1519"/>
      <c r="B146" s="1532" t="s">
        <v>48</v>
      </c>
      <c r="C146" s="2006" t="s">
        <v>1889</v>
      </c>
      <c r="D146" s="1519"/>
    </row>
    <row r="147" spans="1:4" ht="12.5" x14ac:dyDescent="0.25">
      <c r="A147" s="1519"/>
      <c r="B147" s="1532" t="s">
        <v>1141</v>
      </c>
      <c r="C147" s="2006" t="s">
        <v>1889</v>
      </c>
      <c r="D147" s="1519"/>
    </row>
    <row r="148" spans="1:4" ht="12.5" x14ac:dyDescent="0.25">
      <c r="A148" s="1519"/>
      <c r="B148" s="1532" t="s">
        <v>49</v>
      </c>
      <c r="C148" s="2006" t="s">
        <v>1889</v>
      </c>
      <c r="D148" s="1519"/>
    </row>
    <row r="149" spans="1:4" ht="12.5" x14ac:dyDescent="0.25">
      <c r="A149" s="1519"/>
      <c r="B149" s="1532" t="s">
        <v>50</v>
      </c>
      <c r="C149" s="2006" t="s">
        <v>1889</v>
      </c>
      <c r="D149" s="1519"/>
    </row>
    <row r="150" spans="1:4" ht="12.5" x14ac:dyDescent="0.25">
      <c r="A150" s="1519"/>
      <c r="B150" s="1532" t="s">
        <v>1894</v>
      </c>
      <c r="C150" s="2006" t="s">
        <v>1889</v>
      </c>
      <c r="D150" s="1519"/>
    </row>
    <row r="151" spans="1:4" ht="12.5" x14ac:dyDescent="0.25">
      <c r="A151" s="1519"/>
      <c r="B151" s="1532" t="s">
        <v>51</v>
      </c>
      <c r="C151" s="2006" t="s">
        <v>1889</v>
      </c>
      <c r="D151" s="1519"/>
    </row>
    <row r="152" spans="1:4" ht="12.5" x14ac:dyDescent="0.25">
      <c r="A152" s="1519"/>
      <c r="B152" s="1532" t="s">
        <v>52</v>
      </c>
      <c r="C152" s="2006" t="s">
        <v>1889</v>
      </c>
      <c r="D152" s="1519"/>
    </row>
    <row r="153" spans="1:4" ht="12.5" x14ac:dyDescent="0.25">
      <c r="A153" s="1519"/>
      <c r="B153" s="1532" t="s">
        <v>1143</v>
      </c>
      <c r="C153" s="2006" t="s">
        <v>1889</v>
      </c>
      <c r="D153" s="1519"/>
    </row>
    <row r="154" spans="1:4" ht="12.5" x14ac:dyDescent="0.25">
      <c r="A154" s="1519"/>
      <c r="B154" s="1532" t="s">
        <v>1895</v>
      </c>
      <c r="C154" s="2006" t="s">
        <v>1889</v>
      </c>
      <c r="D154" s="1519"/>
    </row>
    <row r="155" spans="1:4" ht="12.5" x14ac:dyDescent="0.25">
      <c r="A155" s="1519"/>
      <c r="B155" s="1532" t="s">
        <v>53</v>
      </c>
      <c r="C155" s="2006" t="s">
        <v>1889</v>
      </c>
      <c r="D155" s="1519"/>
    </row>
    <row r="156" spans="1:4" ht="12.5" x14ac:dyDescent="0.25">
      <c r="A156" s="1519"/>
      <c r="B156" s="1532" t="s">
        <v>54</v>
      </c>
      <c r="C156" s="2006" t="s">
        <v>1889</v>
      </c>
      <c r="D156" s="1519"/>
    </row>
    <row r="157" spans="1:4" ht="12.5" x14ac:dyDescent="0.25">
      <c r="A157" s="1519"/>
      <c r="B157" s="1532" t="s">
        <v>1896</v>
      </c>
      <c r="C157" s="2006" t="s">
        <v>1889</v>
      </c>
      <c r="D157" s="1519"/>
    </row>
    <row r="158" spans="1:4" ht="12.5" x14ac:dyDescent="0.25">
      <c r="A158" s="1519"/>
      <c r="B158" s="1532" t="s">
        <v>55</v>
      </c>
      <c r="C158" s="2006" t="s">
        <v>1889</v>
      </c>
      <c r="D158" s="1519"/>
    </row>
    <row r="159" spans="1:4" ht="12.5" x14ac:dyDescent="0.25">
      <c r="A159" s="1519"/>
      <c r="B159" s="1532" t="s">
        <v>56</v>
      </c>
      <c r="C159" s="2006" t="s">
        <v>1889</v>
      </c>
      <c r="D159" s="1519"/>
    </row>
    <row r="160" spans="1:4" ht="12.5" x14ac:dyDescent="0.25">
      <c r="A160" s="1519"/>
      <c r="B160" s="1532" t="s">
        <v>1145</v>
      </c>
      <c r="C160" s="2006" t="s">
        <v>1889</v>
      </c>
      <c r="D160" s="1519"/>
    </row>
    <row r="161" spans="1:4" ht="12.5" x14ac:dyDescent="0.25">
      <c r="A161" s="1519"/>
      <c r="B161" s="1532" t="s">
        <v>57</v>
      </c>
      <c r="C161" s="2006" t="s">
        <v>1889</v>
      </c>
      <c r="D161" s="1519"/>
    </row>
    <row r="162" spans="1:4" ht="12.5" x14ac:dyDescent="0.25">
      <c r="A162" s="1519"/>
      <c r="B162" s="1532" t="s">
        <v>58</v>
      </c>
      <c r="C162" s="2006" t="s">
        <v>1889</v>
      </c>
      <c r="D162" s="1519"/>
    </row>
    <row r="163" spans="1:4" ht="12.5" x14ac:dyDescent="0.25">
      <c r="A163" s="1519"/>
      <c r="B163" s="1532" t="s">
        <v>59</v>
      </c>
      <c r="C163" s="2006" t="s">
        <v>1889</v>
      </c>
      <c r="D163" s="1519"/>
    </row>
    <row r="164" spans="1:4" ht="12.5" x14ac:dyDescent="0.25">
      <c r="A164" s="1519"/>
      <c r="B164" s="1532" t="s">
        <v>60</v>
      </c>
      <c r="C164" s="2006" t="s">
        <v>1889</v>
      </c>
      <c r="D164" s="1519"/>
    </row>
    <row r="165" spans="1:4" ht="12.5" x14ac:dyDescent="0.25">
      <c r="A165" s="1519"/>
      <c r="B165" s="1532" t="s">
        <v>1149</v>
      </c>
      <c r="C165" s="2006" t="s">
        <v>1889</v>
      </c>
      <c r="D165" s="1519"/>
    </row>
    <row r="166" spans="1:4" ht="12.5" x14ac:dyDescent="0.25">
      <c r="A166" s="1519"/>
      <c r="B166" s="1532" t="s">
        <v>61</v>
      </c>
      <c r="C166" s="2006" t="s">
        <v>1889</v>
      </c>
      <c r="D166" s="1519"/>
    </row>
    <row r="167" spans="1:4" ht="12.5" x14ac:dyDescent="0.25">
      <c r="A167" s="1519"/>
      <c r="B167" s="1532" t="s">
        <v>62</v>
      </c>
      <c r="C167" s="2006" t="s">
        <v>1889</v>
      </c>
      <c r="D167" s="1519"/>
    </row>
    <row r="168" spans="1:4" ht="12.5" x14ac:dyDescent="0.25">
      <c r="A168" s="1519"/>
      <c r="B168" s="1532" t="s">
        <v>63</v>
      </c>
      <c r="C168" s="2006" t="s">
        <v>1889</v>
      </c>
      <c r="D168" s="1519"/>
    </row>
    <row r="169" spans="1:4" ht="12.5" x14ac:dyDescent="0.25">
      <c r="A169" s="1519"/>
      <c r="B169" s="1532" t="s">
        <v>64</v>
      </c>
      <c r="C169" s="2006" t="s">
        <v>1889</v>
      </c>
      <c r="D169" s="1519"/>
    </row>
    <row r="170" spans="1:4" ht="12.5" x14ac:dyDescent="0.25">
      <c r="A170" s="1519"/>
      <c r="B170" s="1532" t="s">
        <v>65</v>
      </c>
      <c r="C170" s="2006" t="s">
        <v>1889</v>
      </c>
      <c r="D170" s="1519"/>
    </row>
    <row r="171" spans="1:4" ht="12.5" x14ac:dyDescent="0.25">
      <c r="A171" s="1519"/>
      <c r="B171" s="1532" t="s">
        <v>1178</v>
      </c>
      <c r="C171" s="2006" t="s">
        <v>1889</v>
      </c>
      <c r="D171" s="1519"/>
    </row>
    <row r="172" spans="1:4" ht="12.5" x14ac:dyDescent="0.25">
      <c r="A172" s="1519"/>
      <c r="B172" s="1532" t="s">
        <v>66</v>
      </c>
      <c r="C172" s="2006" t="s">
        <v>2267</v>
      </c>
      <c r="D172" s="1519"/>
    </row>
    <row r="173" spans="1:4" ht="12.5" x14ac:dyDescent="0.25">
      <c r="A173" s="1519"/>
      <c r="B173" s="1532" t="s">
        <v>67</v>
      </c>
      <c r="C173" s="2006" t="s">
        <v>2267</v>
      </c>
      <c r="D173" s="1519"/>
    </row>
    <row r="174" spans="1:4" ht="12.5" x14ac:dyDescent="0.25">
      <c r="A174" s="1519"/>
      <c r="B174" s="1532" t="s">
        <v>68</v>
      </c>
      <c r="C174" s="2006" t="s">
        <v>2267</v>
      </c>
      <c r="D174" s="1519"/>
    </row>
    <row r="175" spans="1:4" ht="12.5" x14ac:dyDescent="0.25">
      <c r="A175" s="1519"/>
      <c r="B175" s="1532" t="s">
        <v>69</v>
      </c>
      <c r="C175" s="2006" t="s">
        <v>2267</v>
      </c>
      <c r="D175" s="1519"/>
    </row>
    <row r="176" spans="1:4" ht="12.5" x14ac:dyDescent="0.25">
      <c r="A176" s="1519"/>
      <c r="B176" s="1532" t="s">
        <v>70</v>
      </c>
      <c r="C176" s="2006" t="s">
        <v>2267</v>
      </c>
      <c r="D176" s="1519"/>
    </row>
    <row r="177" spans="1:4" ht="12.5" x14ac:dyDescent="0.25">
      <c r="A177" s="1519"/>
      <c r="B177" s="1532" t="s">
        <v>1158</v>
      </c>
      <c r="C177" s="2006" t="s">
        <v>2267</v>
      </c>
      <c r="D177" s="1519"/>
    </row>
    <row r="178" spans="1:4" ht="12.5" x14ac:dyDescent="0.25">
      <c r="A178" s="1519"/>
      <c r="B178" s="1532" t="s">
        <v>71</v>
      </c>
      <c r="C178" s="2006" t="s">
        <v>2267</v>
      </c>
      <c r="D178" s="1519"/>
    </row>
    <row r="179" spans="1:4" ht="12.5" x14ac:dyDescent="0.25">
      <c r="A179" s="1519"/>
      <c r="B179" s="1532" t="s">
        <v>72</v>
      </c>
      <c r="C179" s="2006" t="s">
        <v>2267</v>
      </c>
      <c r="D179" s="1519"/>
    </row>
    <row r="180" spans="1:4" ht="12.5" x14ac:dyDescent="0.25">
      <c r="A180" s="1519"/>
      <c r="B180" s="1532" t="s">
        <v>73</v>
      </c>
      <c r="C180" s="2006" t="s">
        <v>2267</v>
      </c>
      <c r="D180" s="1519"/>
    </row>
    <row r="181" spans="1:4" ht="12.5" x14ac:dyDescent="0.25">
      <c r="A181" s="1519"/>
      <c r="B181" s="1532" t="s">
        <v>74</v>
      </c>
      <c r="C181" s="2006" t="s">
        <v>2267</v>
      </c>
      <c r="D181" s="1519"/>
    </row>
    <row r="182" spans="1:4" ht="12.5" x14ac:dyDescent="0.25">
      <c r="A182" s="1519"/>
      <c r="B182" s="1532" t="s">
        <v>1161</v>
      </c>
      <c r="C182" s="2006" t="s">
        <v>2267</v>
      </c>
      <c r="D182" s="1519"/>
    </row>
    <row r="183" spans="1:4" ht="12.5" x14ac:dyDescent="0.25">
      <c r="A183" s="1519"/>
      <c r="B183" s="1532" t="s">
        <v>75</v>
      </c>
      <c r="C183" s="2006" t="s">
        <v>2267</v>
      </c>
      <c r="D183" s="1519"/>
    </row>
    <row r="184" spans="1:4" ht="12.5" x14ac:dyDescent="0.25">
      <c r="A184" s="1519"/>
      <c r="B184" s="1532" t="s">
        <v>76</v>
      </c>
      <c r="C184" s="2006" t="s">
        <v>2267</v>
      </c>
      <c r="D184" s="1519"/>
    </row>
    <row r="185" spans="1:4" ht="12.5" x14ac:dyDescent="0.25">
      <c r="A185" s="1519"/>
      <c r="B185" s="1532" t="s">
        <v>77</v>
      </c>
      <c r="C185" s="2006" t="s">
        <v>2267</v>
      </c>
      <c r="D185" s="1519"/>
    </row>
    <row r="186" spans="1:4" ht="12.5" x14ac:dyDescent="0.25">
      <c r="A186" s="1519"/>
      <c r="B186" s="1532" t="s">
        <v>78</v>
      </c>
      <c r="C186" s="2006" t="s">
        <v>2267</v>
      </c>
      <c r="D186" s="1519"/>
    </row>
    <row r="187" spans="1:4" ht="12.5" x14ac:dyDescent="0.25">
      <c r="A187" s="1519"/>
      <c r="B187" s="1532" t="s">
        <v>79</v>
      </c>
      <c r="C187" s="2006" t="s">
        <v>2267</v>
      </c>
      <c r="D187" s="1519"/>
    </row>
    <row r="188" spans="1:4" ht="12.5" x14ac:dyDescent="0.25">
      <c r="A188" s="1519"/>
      <c r="B188" s="1532" t="s">
        <v>1162</v>
      </c>
      <c r="C188" s="2006" t="s">
        <v>2267</v>
      </c>
      <c r="D188" s="1519"/>
    </row>
    <row r="189" spans="1:4" ht="12.5" x14ac:dyDescent="0.25">
      <c r="A189" s="1519"/>
      <c r="B189" s="1532" t="s">
        <v>80</v>
      </c>
      <c r="C189" s="2006" t="s">
        <v>2267</v>
      </c>
      <c r="D189" s="1519"/>
    </row>
    <row r="190" spans="1:4" ht="12.5" x14ac:dyDescent="0.25">
      <c r="A190" s="1519"/>
      <c r="B190" s="1532" t="s">
        <v>81</v>
      </c>
      <c r="C190" s="2006" t="s">
        <v>2267</v>
      </c>
      <c r="D190" s="1519"/>
    </row>
    <row r="191" spans="1:4" ht="12.5" x14ac:dyDescent="0.25">
      <c r="A191" s="1519"/>
      <c r="B191" s="1532" t="s">
        <v>82</v>
      </c>
      <c r="C191" s="2006" t="s">
        <v>2267</v>
      </c>
      <c r="D191" s="1519"/>
    </row>
    <row r="192" spans="1:4" ht="12.5" x14ac:dyDescent="0.25">
      <c r="A192" s="1519"/>
      <c r="B192" s="1532" t="s">
        <v>83</v>
      </c>
      <c r="C192" s="2006" t="s">
        <v>2267</v>
      </c>
      <c r="D192" s="1519"/>
    </row>
    <row r="193" spans="1:4" ht="12.5" x14ac:dyDescent="0.25">
      <c r="A193" s="1519"/>
      <c r="B193" s="1532" t="s">
        <v>84</v>
      </c>
      <c r="C193" s="2006" t="s">
        <v>2267</v>
      </c>
      <c r="D193" s="1519"/>
    </row>
    <row r="194" spans="1:4" ht="12.5" x14ac:dyDescent="0.25">
      <c r="A194" s="1519"/>
      <c r="B194" s="1532" t="s">
        <v>85</v>
      </c>
      <c r="C194" s="2005" t="s">
        <v>2267</v>
      </c>
      <c r="D194" s="1519"/>
    </row>
    <row r="195" spans="1:4" ht="12.5" x14ac:dyDescent="0.25">
      <c r="A195" s="1519"/>
      <c r="B195" s="1532" t="s">
        <v>1163</v>
      </c>
      <c r="C195" s="2005" t="s">
        <v>2267</v>
      </c>
      <c r="D195" s="1519"/>
    </row>
    <row r="196" spans="1:4" ht="12.5" x14ac:dyDescent="0.25">
      <c r="A196" s="1519"/>
      <c r="B196" s="1532" t="s">
        <v>1897</v>
      </c>
      <c r="C196" s="2005" t="s">
        <v>2267</v>
      </c>
      <c r="D196" s="1519"/>
    </row>
    <row r="197" spans="1:4" ht="12.5" x14ac:dyDescent="0.25">
      <c r="A197" s="1519"/>
      <c r="B197" s="1532" t="s">
        <v>86</v>
      </c>
      <c r="C197" s="2005" t="s">
        <v>2267</v>
      </c>
      <c r="D197" s="1519"/>
    </row>
    <row r="198" spans="1:4" ht="12.5" x14ac:dyDescent="0.25">
      <c r="A198" s="1519"/>
      <c r="B198" s="1532" t="s">
        <v>1898</v>
      </c>
      <c r="C198" s="2005" t="s">
        <v>2267</v>
      </c>
      <c r="D198" s="1519"/>
    </row>
    <row r="199" spans="1:4" ht="12.5" x14ac:dyDescent="0.25">
      <c r="A199" s="1519"/>
      <c r="B199" s="1532" t="s">
        <v>87</v>
      </c>
      <c r="C199" s="2005" t="s">
        <v>2267</v>
      </c>
      <c r="D199" s="1519"/>
    </row>
    <row r="200" spans="1:4" ht="12.5" x14ac:dyDescent="0.25">
      <c r="A200" s="1519"/>
      <c r="B200" s="1532" t="s">
        <v>88</v>
      </c>
      <c r="C200" s="2005" t="s">
        <v>2267</v>
      </c>
      <c r="D200" s="1519"/>
    </row>
    <row r="201" spans="1:4" ht="12.5" x14ac:dyDescent="0.25">
      <c r="A201" s="1519"/>
      <c r="B201" s="1532" t="s">
        <v>1954</v>
      </c>
      <c r="C201" s="2005" t="s">
        <v>2267</v>
      </c>
      <c r="D201" s="1519"/>
    </row>
    <row r="202" spans="1:4" ht="12.5" x14ac:dyDescent="0.25">
      <c r="A202" s="1519"/>
      <c r="B202" s="1532" t="s">
        <v>837</v>
      </c>
      <c r="C202" s="2005" t="s">
        <v>1153</v>
      </c>
      <c r="D202" s="1519"/>
    </row>
    <row r="203" spans="1:4" ht="12.5" x14ac:dyDescent="0.25">
      <c r="A203" s="1519"/>
      <c r="B203" s="1532" t="s">
        <v>838</v>
      </c>
      <c r="C203" s="2005" t="s">
        <v>1153</v>
      </c>
      <c r="D203" s="1519"/>
    </row>
    <row r="204" spans="1:4" ht="12.5" x14ac:dyDescent="0.25">
      <c r="A204" s="1519"/>
      <c r="B204" s="1532" t="s">
        <v>839</v>
      </c>
      <c r="C204" s="2005" t="s">
        <v>1153</v>
      </c>
      <c r="D204" s="1519"/>
    </row>
    <row r="205" spans="1:4" ht="12.5" x14ac:dyDescent="0.25">
      <c r="A205" s="1519"/>
      <c r="B205" s="1532" t="s">
        <v>1899</v>
      </c>
      <c r="C205" s="2005" t="s">
        <v>1153</v>
      </c>
      <c r="D205" s="1519"/>
    </row>
    <row r="206" spans="1:4" ht="12.5" x14ac:dyDescent="0.25">
      <c r="A206" s="1519"/>
      <c r="B206" s="1532" t="s">
        <v>840</v>
      </c>
      <c r="C206" s="2005" t="s">
        <v>1153</v>
      </c>
      <c r="D206" s="1519"/>
    </row>
    <row r="207" spans="1:4" ht="12.5" x14ac:dyDescent="0.25">
      <c r="A207" s="1519"/>
      <c r="B207" s="1532" t="s">
        <v>841</v>
      </c>
      <c r="C207" s="2005" t="s">
        <v>1153</v>
      </c>
      <c r="D207" s="1519"/>
    </row>
    <row r="208" spans="1:4" ht="12.5" x14ac:dyDescent="0.25">
      <c r="A208" s="1519"/>
      <c r="B208" s="1532" t="s">
        <v>842</v>
      </c>
      <c r="C208" s="2005" t="s">
        <v>1153</v>
      </c>
      <c r="D208" s="1519"/>
    </row>
    <row r="209" spans="1:4" ht="12.5" x14ac:dyDescent="0.25">
      <c r="A209" s="1519"/>
      <c r="B209" s="1532" t="s">
        <v>1152</v>
      </c>
      <c r="C209" s="2005" t="s">
        <v>1153</v>
      </c>
      <c r="D209" s="1519"/>
    </row>
    <row r="210" spans="1:4" ht="12.5" x14ac:dyDescent="0.25">
      <c r="A210" s="1519"/>
      <c r="B210" s="1532" t="s">
        <v>1900</v>
      </c>
      <c r="C210" s="2005" t="s">
        <v>1153</v>
      </c>
      <c r="D210" s="1519"/>
    </row>
    <row r="211" spans="1:4" ht="12.5" x14ac:dyDescent="0.25">
      <c r="A211" s="1519"/>
      <c r="B211" s="1532" t="s">
        <v>1960</v>
      </c>
      <c r="C211" s="2005" t="s">
        <v>1153</v>
      </c>
      <c r="D211" s="1519"/>
    </row>
    <row r="212" spans="1:4" ht="12.5" x14ac:dyDescent="0.25">
      <c r="A212" s="1519"/>
      <c r="B212" s="1532" t="s">
        <v>843</v>
      </c>
      <c r="C212" s="2005" t="s">
        <v>1153</v>
      </c>
      <c r="D212" s="1519"/>
    </row>
    <row r="213" spans="1:4" ht="12.5" x14ac:dyDescent="0.25">
      <c r="A213" s="1519"/>
      <c r="B213" s="1532" t="s">
        <v>844</v>
      </c>
      <c r="C213" s="2005" t="s">
        <v>1153</v>
      </c>
      <c r="D213" s="1519"/>
    </row>
    <row r="214" spans="1:4" ht="12.5" x14ac:dyDescent="0.25">
      <c r="A214" s="1519"/>
      <c r="B214" s="1532" t="s">
        <v>1961</v>
      </c>
      <c r="C214" s="2005" t="s">
        <v>1153</v>
      </c>
      <c r="D214" s="1519"/>
    </row>
    <row r="215" spans="1:4" ht="12.5" x14ac:dyDescent="0.25">
      <c r="A215" s="1519"/>
      <c r="B215" s="1532" t="s">
        <v>89</v>
      </c>
      <c r="C215" s="2005" t="s">
        <v>1153</v>
      </c>
      <c r="D215" s="1519"/>
    </row>
    <row r="216" spans="1:4" ht="12.5" x14ac:dyDescent="0.25">
      <c r="A216" s="1519"/>
      <c r="B216" s="1532" t="s">
        <v>1155</v>
      </c>
      <c r="C216" s="2005" t="s">
        <v>1153</v>
      </c>
      <c r="D216" s="1519"/>
    </row>
    <row r="217" spans="1:4" ht="12.5" x14ac:dyDescent="0.25">
      <c r="A217" s="1519"/>
      <c r="B217" s="1532" t="s">
        <v>845</v>
      </c>
      <c r="C217" s="2005" t="s">
        <v>1153</v>
      </c>
      <c r="D217" s="1519"/>
    </row>
    <row r="218" spans="1:4" ht="12.5" x14ac:dyDescent="0.25">
      <c r="A218" s="1519"/>
      <c r="B218" s="1532" t="s">
        <v>846</v>
      </c>
      <c r="C218" s="2005" t="s">
        <v>1153</v>
      </c>
      <c r="D218" s="1519"/>
    </row>
    <row r="219" spans="1:4" ht="12.5" x14ac:dyDescent="0.25">
      <c r="A219" s="1519"/>
      <c r="B219" s="1532" t="s">
        <v>847</v>
      </c>
      <c r="C219" s="2005" t="s">
        <v>1153</v>
      </c>
      <c r="D219" s="1519"/>
    </row>
    <row r="220" spans="1:4" ht="12.5" x14ac:dyDescent="0.25">
      <c r="A220" s="1519"/>
      <c r="B220" s="1532" t="s">
        <v>848</v>
      </c>
      <c r="C220" s="2005" t="s">
        <v>1153</v>
      </c>
      <c r="D220" s="1519"/>
    </row>
    <row r="221" spans="1:4" ht="12.5" x14ac:dyDescent="0.25">
      <c r="A221" s="1519"/>
      <c r="B221" s="1532" t="s">
        <v>849</v>
      </c>
      <c r="C221" s="2005" t="s">
        <v>1153</v>
      </c>
      <c r="D221" s="1519"/>
    </row>
    <row r="222" spans="1:4" ht="12.5" x14ac:dyDescent="0.25">
      <c r="A222" s="1519"/>
      <c r="B222" s="1532" t="s">
        <v>1156</v>
      </c>
      <c r="C222" s="2005" t="s">
        <v>1153</v>
      </c>
      <c r="D222" s="1519"/>
    </row>
    <row r="223" spans="1:4" ht="12.5" x14ac:dyDescent="0.25">
      <c r="A223" s="1519"/>
      <c r="B223" s="1532" t="s">
        <v>259</v>
      </c>
      <c r="C223" s="2005" t="s">
        <v>1165</v>
      </c>
      <c r="D223" s="1519"/>
    </row>
    <row r="224" spans="1:4" ht="12.5" x14ac:dyDescent="0.25">
      <c r="A224" s="1519"/>
      <c r="B224" s="1532" t="s">
        <v>260</v>
      </c>
      <c r="C224" s="2005" t="s">
        <v>1165</v>
      </c>
      <c r="D224" s="1519"/>
    </row>
    <row r="225" spans="1:4" ht="12.5" x14ac:dyDescent="0.25">
      <c r="A225" s="1519"/>
      <c r="B225" s="1532" t="s">
        <v>261</v>
      </c>
      <c r="C225" s="2005" t="s">
        <v>1165</v>
      </c>
      <c r="D225" s="1519"/>
    </row>
    <row r="226" spans="1:4" ht="12.5" x14ac:dyDescent="0.25">
      <c r="A226" s="1519"/>
      <c r="B226" s="1532" t="s">
        <v>262</v>
      </c>
      <c r="C226" s="2005" t="s">
        <v>1165</v>
      </c>
      <c r="D226" s="1519"/>
    </row>
    <row r="227" spans="1:4" ht="12.5" x14ac:dyDescent="0.25">
      <c r="A227" s="1519"/>
      <c r="B227" s="1532" t="s">
        <v>205</v>
      </c>
      <c r="C227" s="2005" t="s">
        <v>1165</v>
      </c>
      <c r="D227" s="1519"/>
    </row>
    <row r="228" spans="1:4" ht="12.5" x14ac:dyDescent="0.25">
      <c r="A228" s="1519"/>
      <c r="B228" s="1532" t="s">
        <v>1164</v>
      </c>
      <c r="C228" s="2005" t="s">
        <v>1165</v>
      </c>
      <c r="D228" s="1519"/>
    </row>
    <row r="229" spans="1:4" ht="12.5" x14ac:dyDescent="0.25">
      <c r="A229" s="1519"/>
      <c r="B229" s="1532" t="s">
        <v>206</v>
      </c>
      <c r="C229" s="2005" t="s">
        <v>1165</v>
      </c>
      <c r="D229" s="1519"/>
    </row>
    <row r="230" spans="1:4" ht="12.5" x14ac:dyDescent="0.25">
      <c r="A230" s="1519"/>
      <c r="B230" s="1532" t="s">
        <v>207</v>
      </c>
      <c r="C230" s="2005" t="s">
        <v>1165</v>
      </c>
      <c r="D230" s="1519"/>
    </row>
    <row r="231" spans="1:4" ht="12.5" x14ac:dyDescent="0.25">
      <c r="A231" s="1519"/>
      <c r="B231" s="1532" t="s">
        <v>208</v>
      </c>
      <c r="C231" s="2005" t="s">
        <v>1165</v>
      </c>
      <c r="D231" s="1519"/>
    </row>
    <row r="232" spans="1:4" ht="12.5" x14ac:dyDescent="0.25">
      <c r="A232" s="1519"/>
      <c r="B232" s="1532" t="s">
        <v>209</v>
      </c>
      <c r="C232" s="2005" t="s">
        <v>1165</v>
      </c>
      <c r="D232" s="1519"/>
    </row>
    <row r="233" spans="1:4" ht="12.5" x14ac:dyDescent="0.25">
      <c r="A233" s="1519"/>
      <c r="B233" s="1532" t="s">
        <v>210</v>
      </c>
      <c r="C233" s="2005" t="s">
        <v>1165</v>
      </c>
      <c r="D233" s="1519"/>
    </row>
    <row r="234" spans="1:4" ht="12.5" x14ac:dyDescent="0.25">
      <c r="A234" s="1519"/>
      <c r="B234" s="1532" t="s">
        <v>1166</v>
      </c>
      <c r="C234" s="2005" t="s">
        <v>1165</v>
      </c>
      <c r="D234" s="1519"/>
    </row>
    <row r="235" spans="1:4" ht="12.5" x14ac:dyDescent="0.25">
      <c r="A235" s="1519"/>
      <c r="B235" s="1532" t="s">
        <v>211</v>
      </c>
      <c r="C235" s="2005" t="s">
        <v>1165</v>
      </c>
      <c r="D235" s="1519"/>
    </row>
    <row r="236" spans="1:4" ht="12.5" x14ac:dyDescent="0.25">
      <c r="A236" s="1519"/>
      <c r="B236" s="1532" t="s">
        <v>212</v>
      </c>
      <c r="C236" s="2005" t="s">
        <v>1165</v>
      </c>
      <c r="D236" s="1519"/>
    </row>
    <row r="237" spans="1:4" ht="12.5" x14ac:dyDescent="0.25">
      <c r="A237" s="1519"/>
      <c r="B237" s="1532" t="s">
        <v>213</v>
      </c>
      <c r="C237" s="2005" t="s">
        <v>1165</v>
      </c>
      <c r="D237" s="1519"/>
    </row>
    <row r="238" spans="1:4" ht="12.5" x14ac:dyDescent="0.25">
      <c r="A238" s="1519"/>
      <c r="B238" s="1532" t="s">
        <v>214</v>
      </c>
      <c r="C238" s="2005" t="s">
        <v>1165</v>
      </c>
      <c r="D238" s="1519"/>
    </row>
    <row r="239" spans="1:4" ht="12.5" x14ac:dyDescent="0.25">
      <c r="A239" s="1519"/>
      <c r="B239" s="1532" t="s">
        <v>1962</v>
      </c>
      <c r="C239" s="2005" t="s">
        <v>1165</v>
      </c>
      <c r="D239" s="1519"/>
    </row>
    <row r="240" spans="1:4" ht="12.5" x14ac:dyDescent="0.25">
      <c r="A240" s="1519"/>
      <c r="B240" s="1532" t="s">
        <v>1754</v>
      </c>
      <c r="C240" s="2005" t="s">
        <v>1165</v>
      </c>
      <c r="D240" s="1519"/>
    </row>
    <row r="241" spans="1:4" ht="12.5" x14ac:dyDescent="0.25">
      <c r="A241" s="1519"/>
      <c r="B241" s="1532" t="s">
        <v>215</v>
      </c>
      <c r="C241" s="2005" t="s">
        <v>1165</v>
      </c>
      <c r="D241" s="1519"/>
    </row>
    <row r="242" spans="1:4" ht="12.5" x14ac:dyDescent="0.25">
      <c r="A242" s="1519"/>
      <c r="B242" s="1532" t="s">
        <v>216</v>
      </c>
      <c r="C242" s="2005" t="s">
        <v>1165</v>
      </c>
      <c r="D242" s="1519"/>
    </row>
    <row r="243" spans="1:4" ht="12.5" x14ac:dyDescent="0.25">
      <c r="A243" s="1519"/>
      <c r="B243" s="1532" t="s">
        <v>90</v>
      </c>
      <c r="C243" s="2005" t="s">
        <v>1165</v>
      </c>
      <c r="D243" s="1519"/>
    </row>
    <row r="244" spans="1:4" ht="12.5" x14ac:dyDescent="0.25">
      <c r="A244" s="1519"/>
      <c r="B244" s="1532" t="s">
        <v>217</v>
      </c>
      <c r="C244" s="2005" t="s">
        <v>1165</v>
      </c>
      <c r="D244" s="1519"/>
    </row>
    <row r="245" spans="1:4" ht="12.5" x14ac:dyDescent="0.25">
      <c r="A245" s="1519"/>
      <c r="B245" s="1532" t="s">
        <v>1755</v>
      </c>
      <c r="C245" s="2005" t="s">
        <v>1165</v>
      </c>
      <c r="D245" s="1519"/>
    </row>
    <row r="246" spans="1:4" ht="12.5" x14ac:dyDescent="0.25">
      <c r="A246" s="1519"/>
      <c r="B246" s="1532" t="s">
        <v>1901</v>
      </c>
      <c r="C246" s="2005" t="s">
        <v>1182</v>
      </c>
      <c r="D246" s="1519"/>
    </row>
    <row r="247" spans="1:4" ht="12.5" x14ac:dyDescent="0.25">
      <c r="A247" s="1519"/>
      <c r="B247" s="1532" t="s">
        <v>257</v>
      </c>
      <c r="C247" s="2005" t="s">
        <v>1182</v>
      </c>
      <c r="D247" s="1519"/>
    </row>
    <row r="248" spans="1:4" ht="12.5" x14ac:dyDescent="0.25">
      <c r="A248" s="1519"/>
      <c r="B248" s="1532" t="s">
        <v>258</v>
      </c>
      <c r="C248" s="2005" t="s">
        <v>1182</v>
      </c>
      <c r="D248" s="1519"/>
    </row>
    <row r="249" spans="1:4" ht="12.5" x14ac:dyDescent="0.25">
      <c r="A249" s="1519"/>
      <c r="B249" s="1532" t="s">
        <v>1890</v>
      </c>
      <c r="C249" s="2005" t="s">
        <v>1182</v>
      </c>
      <c r="D249" s="1519"/>
    </row>
    <row r="250" spans="1:4" ht="12.5" x14ac:dyDescent="0.25">
      <c r="A250" s="1519"/>
      <c r="B250" s="1532" t="s">
        <v>850</v>
      </c>
      <c r="C250" s="2005" t="s">
        <v>1182</v>
      </c>
      <c r="D250" s="1519"/>
    </row>
    <row r="251" spans="1:4" ht="12.5" x14ac:dyDescent="0.25">
      <c r="A251" s="1519"/>
      <c r="B251" s="1532" t="s">
        <v>851</v>
      </c>
      <c r="C251" s="2005" t="s">
        <v>1182</v>
      </c>
      <c r="D251" s="1519"/>
    </row>
    <row r="252" spans="1:4" ht="12.5" x14ac:dyDescent="0.25">
      <c r="A252" s="1519"/>
      <c r="B252" s="1532" t="s">
        <v>852</v>
      </c>
      <c r="C252" s="2005" t="s">
        <v>1182</v>
      </c>
      <c r="D252" s="1519"/>
    </row>
    <row r="253" spans="1:4" ht="12.5" x14ac:dyDescent="0.25">
      <c r="A253" s="1519"/>
      <c r="B253" s="1532" t="s">
        <v>853</v>
      </c>
      <c r="C253" s="2005" t="s">
        <v>1182</v>
      </c>
      <c r="D253" s="1519"/>
    </row>
    <row r="254" spans="1:4" ht="12.5" x14ac:dyDescent="0.25">
      <c r="A254" s="1519"/>
      <c r="B254" s="1532" t="s">
        <v>854</v>
      </c>
      <c r="C254" s="2005" t="s">
        <v>1182</v>
      </c>
      <c r="D254" s="1519"/>
    </row>
    <row r="255" spans="1:4" ht="12.5" x14ac:dyDescent="0.25">
      <c r="A255" s="1519"/>
      <c r="B255" s="1532" t="s">
        <v>855</v>
      </c>
      <c r="C255" s="2005" t="s">
        <v>1182</v>
      </c>
      <c r="D255" s="1519"/>
    </row>
    <row r="256" spans="1:4" ht="12.5" x14ac:dyDescent="0.25">
      <c r="A256" s="1519"/>
      <c r="B256" s="1532" t="s">
        <v>1181</v>
      </c>
      <c r="C256" s="2005" t="s">
        <v>1182</v>
      </c>
      <c r="D256" s="1519"/>
    </row>
    <row r="257" spans="1:4" ht="12.5" x14ac:dyDescent="0.25">
      <c r="A257" s="1519"/>
      <c r="B257" s="1532" t="s">
        <v>1269</v>
      </c>
      <c r="C257" s="2005" t="s">
        <v>1182</v>
      </c>
      <c r="D257" s="1519"/>
    </row>
    <row r="258" spans="1:4" ht="12.5" x14ac:dyDescent="0.25">
      <c r="A258" s="1519"/>
      <c r="B258" s="1532" t="s">
        <v>1270</v>
      </c>
      <c r="C258" s="2005" t="s">
        <v>1182</v>
      </c>
      <c r="D258" s="1519"/>
    </row>
    <row r="259" spans="1:4" ht="12.5" x14ac:dyDescent="0.25">
      <c r="A259" s="1519"/>
      <c r="B259" s="1532" t="s">
        <v>1271</v>
      </c>
      <c r="C259" s="2005" t="s">
        <v>1182</v>
      </c>
      <c r="D259" s="1519"/>
    </row>
    <row r="260" spans="1:4" ht="12.5" x14ac:dyDescent="0.25">
      <c r="A260" s="1519"/>
      <c r="B260" s="1532" t="s">
        <v>1272</v>
      </c>
      <c r="C260" s="2005" t="s">
        <v>1182</v>
      </c>
      <c r="D260" s="1519"/>
    </row>
    <row r="261" spans="1:4" ht="12.5" x14ac:dyDescent="0.25">
      <c r="A261" s="1519"/>
      <c r="B261" s="1532" t="s">
        <v>1273</v>
      </c>
      <c r="C261" s="2005" t="s">
        <v>1182</v>
      </c>
      <c r="D261" s="1519"/>
    </row>
    <row r="262" spans="1:4" ht="12.5" x14ac:dyDescent="0.25">
      <c r="A262" s="1519"/>
      <c r="B262" s="1532" t="s">
        <v>1274</v>
      </c>
      <c r="C262" s="2005" t="s">
        <v>1182</v>
      </c>
      <c r="D262" s="1519"/>
    </row>
    <row r="263" spans="1:4" ht="12.5" x14ac:dyDescent="0.25">
      <c r="A263" s="1519"/>
      <c r="B263" s="1532" t="s">
        <v>245</v>
      </c>
      <c r="C263" s="2005" t="s">
        <v>1182</v>
      </c>
      <c r="D263" s="1519"/>
    </row>
    <row r="264" spans="1:4" ht="12.5" x14ac:dyDescent="0.25">
      <c r="A264" s="1519"/>
      <c r="B264" s="1532" t="s">
        <v>246</v>
      </c>
      <c r="C264" s="2005" t="s">
        <v>1182</v>
      </c>
      <c r="D264" s="1519"/>
    </row>
    <row r="265" spans="1:4" ht="12.5" x14ac:dyDescent="0.25">
      <c r="A265" s="1519"/>
      <c r="B265" s="1532" t="s">
        <v>1955</v>
      </c>
      <c r="C265" s="2005" t="s">
        <v>1182</v>
      </c>
      <c r="D265" s="1519"/>
    </row>
    <row r="266" spans="1:4" ht="12.5" x14ac:dyDescent="0.25">
      <c r="A266" s="1519"/>
      <c r="B266" s="1532" t="s">
        <v>247</v>
      </c>
      <c r="C266" s="2005" t="s">
        <v>1182</v>
      </c>
      <c r="D266" s="1519"/>
    </row>
    <row r="267" spans="1:4" ht="12.5" x14ac:dyDescent="0.25">
      <c r="A267" s="1519"/>
      <c r="B267" s="1532" t="s">
        <v>248</v>
      </c>
      <c r="C267" s="2005" t="s">
        <v>1182</v>
      </c>
      <c r="D267" s="1519"/>
    </row>
    <row r="268" spans="1:4" ht="12.5" x14ac:dyDescent="0.25">
      <c r="A268" s="1519"/>
      <c r="B268" s="1532" t="s">
        <v>249</v>
      </c>
      <c r="C268" s="2005" t="s">
        <v>1182</v>
      </c>
      <c r="D268" s="1519"/>
    </row>
    <row r="269" spans="1:4" ht="12.5" x14ac:dyDescent="0.25">
      <c r="A269" s="1519"/>
      <c r="B269" s="1532" t="s">
        <v>250</v>
      </c>
      <c r="C269" s="2005" t="s">
        <v>1182</v>
      </c>
      <c r="D269" s="1519"/>
    </row>
    <row r="270" spans="1:4" ht="12.5" x14ac:dyDescent="0.25">
      <c r="A270" s="1519"/>
      <c r="B270" s="1532" t="s">
        <v>251</v>
      </c>
      <c r="C270" s="2005" t="s">
        <v>1182</v>
      </c>
      <c r="D270" s="1519"/>
    </row>
    <row r="271" spans="1:4" ht="12.5" x14ac:dyDescent="0.25">
      <c r="A271" s="1519"/>
      <c r="B271" s="1532" t="s">
        <v>252</v>
      </c>
      <c r="C271" s="2005" t="s">
        <v>1182</v>
      </c>
      <c r="D271" s="1519"/>
    </row>
    <row r="272" spans="1:4" ht="12.5" x14ac:dyDescent="0.25">
      <c r="A272" s="1519"/>
      <c r="B272" s="1532" t="s">
        <v>1183</v>
      </c>
      <c r="C272" s="2005" t="s">
        <v>1182</v>
      </c>
      <c r="D272" s="1519"/>
    </row>
    <row r="273" spans="1:4" ht="12.5" x14ac:dyDescent="0.25">
      <c r="A273" s="1519"/>
      <c r="B273" s="1532" t="s">
        <v>253</v>
      </c>
      <c r="C273" s="2005" t="s">
        <v>1182</v>
      </c>
      <c r="D273" s="1519"/>
    </row>
    <row r="274" spans="1:4" ht="12.5" x14ac:dyDescent="0.25">
      <c r="A274" s="1519"/>
      <c r="B274" s="1532" t="s">
        <v>254</v>
      </c>
      <c r="C274" s="2005" t="s">
        <v>1182</v>
      </c>
      <c r="D274" s="1519"/>
    </row>
    <row r="275" spans="1:4" ht="12.5" x14ac:dyDescent="0.25">
      <c r="A275" s="1519"/>
      <c r="B275" s="1532" t="s">
        <v>255</v>
      </c>
      <c r="C275" s="2005" t="s">
        <v>1182</v>
      </c>
      <c r="D275" s="1519"/>
    </row>
    <row r="276" spans="1:4" ht="12.5" x14ac:dyDescent="0.25">
      <c r="A276" s="1519"/>
      <c r="B276" s="1532" t="s">
        <v>256</v>
      </c>
      <c r="C276" s="2005" t="s">
        <v>1182</v>
      </c>
      <c r="D276" s="1519"/>
    </row>
    <row r="277" spans="1:4" ht="12.5" x14ac:dyDescent="0.25">
      <c r="A277" s="1519"/>
      <c r="B277" s="1532" t="s">
        <v>1184</v>
      </c>
      <c r="C277" s="2005" t="s">
        <v>1182</v>
      </c>
      <c r="D277" s="1519"/>
    </row>
    <row r="278" spans="1:4" ht="12.5" x14ac:dyDescent="0.25">
      <c r="A278" s="1519"/>
      <c r="B278" s="1532" t="s">
        <v>2268</v>
      </c>
      <c r="C278" s="2005" t="s">
        <v>1030</v>
      </c>
      <c r="D278" s="1519"/>
    </row>
    <row r="279" spans="1:4" ht="12.5" x14ac:dyDescent="0.25">
      <c r="A279" s="1519"/>
      <c r="B279" s="1532" t="s">
        <v>218</v>
      </c>
      <c r="C279" s="2005" t="s">
        <v>1030</v>
      </c>
      <c r="D279" s="1519"/>
    </row>
    <row r="280" spans="1:4" ht="12.5" x14ac:dyDescent="0.25">
      <c r="A280" s="1519"/>
      <c r="B280" s="1532" t="s">
        <v>219</v>
      </c>
      <c r="C280" s="2005" t="s">
        <v>1030</v>
      </c>
      <c r="D280" s="1519"/>
    </row>
    <row r="281" spans="1:4" ht="12.5" x14ac:dyDescent="0.25">
      <c r="A281" s="1519"/>
      <c r="B281" s="1532" t="s">
        <v>220</v>
      </c>
      <c r="C281" s="2005" t="s">
        <v>1030</v>
      </c>
      <c r="D281" s="1519"/>
    </row>
    <row r="282" spans="1:4" ht="12.5" x14ac:dyDescent="0.25">
      <c r="A282" s="1519"/>
      <c r="B282" s="1532" t="s">
        <v>221</v>
      </c>
      <c r="C282" s="2005" t="s">
        <v>1030</v>
      </c>
      <c r="D282" s="1519"/>
    </row>
    <row r="283" spans="1:4" ht="12.5" x14ac:dyDescent="0.25">
      <c r="A283" s="1519"/>
      <c r="B283" s="1532" t="s">
        <v>222</v>
      </c>
      <c r="C283" s="2005" t="s">
        <v>1030</v>
      </c>
      <c r="D283" s="1519"/>
    </row>
    <row r="284" spans="1:4" ht="12.5" x14ac:dyDescent="0.25">
      <c r="A284" s="1519"/>
      <c r="B284" s="1532" t="s">
        <v>1029</v>
      </c>
      <c r="C284" s="2005" t="s">
        <v>1030</v>
      </c>
      <c r="D284" s="1519"/>
    </row>
    <row r="285" spans="1:4" ht="12.5" x14ac:dyDescent="0.25">
      <c r="A285" s="1519"/>
      <c r="B285" s="1532" t="s">
        <v>223</v>
      </c>
      <c r="C285" s="2005" t="s">
        <v>1030</v>
      </c>
      <c r="D285" s="1519"/>
    </row>
    <row r="286" spans="1:4" ht="12.5" x14ac:dyDescent="0.25">
      <c r="A286" s="1519"/>
      <c r="B286" s="1532" t="s">
        <v>224</v>
      </c>
      <c r="C286" s="2005" t="s">
        <v>1030</v>
      </c>
      <c r="D286" s="1519"/>
    </row>
    <row r="287" spans="1:4" ht="12.5" x14ac:dyDescent="0.25">
      <c r="A287" s="1519"/>
      <c r="B287" s="1532" t="s">
        <v>225</v>
      </c>
      <c r="C287" s="2005" t="s">
        <v>1030</v>
      </c>
      <c r="D287" s="1519"/>
    </row>
    <row r="288" spans="1:4" ht="12.5" x14ac:dyDescent="0.25">
      <c r="A288" s="1519"/>
      <c r="B288" s="1532" t="s">
        <v>226</v>
      </c>
      <c r="C288" s="2005" t="s">
        <v>1030</v>
      </c>
      <c r="D288" s="1519"/>
    </row>
    <row r="289" spans="1:4" ht="12.5" x14ac:dyDescent="0.25">
      <c r="A289" s="1519"/>
      <c r="B289" s="1532" t="s">
        <v>1902</v>
      </c>
      <c r="C289" s="2005" t="s">
        <v>1030</v>
      </c>
      <c r="D289" s="1519"/>
    </row>
    <row r="290" spans="1:4" ht="12.5" x14ac:dyDescent="0.25">
      <c r="A290" s="1519"/>
      <c r="B290" s="1532" t="s">
        <v>1953</v>
      </c>
      <c r="C290" s="2005" t="s">
        <v>1030</v>
      </c>
      <c r="D290" s="1519"/>
    </row>
    <row r="291" spans="1:4" ht="12.5" x14ac:dyDescent="0.25">
      <c r="A291" s="1519"/>
      <c r="B291" s="1532" t="s">
        <v>227</v>
      </c>
      <c r="C291" s="2005" t="s">
        <v>1030</v>
      </c>
      <c r="D291" s="1519"/>
    </row>
    <row r="292" spans="1:4" ht="12.5" x14ac:dyDescent="0.25">
      <c r="A292" s="1519"/>
      <c r="B292" s="1532" t="s">
        <v>228</v>
      </c>
      <c r="C292" s="2005" t="s">
        <v>1030</v>
      </c>
      <c r="D292" s="1519"/>
    </row>
    <row r="293" spans="1:4" ht="12.5" x14ac:dyDescent="0.25">
      <c r="A293" s="1519"/>
      <c r="B293" s="1532" t="s">
        <v>229</v>
      </c>
      <c r="C293" s="2005" t="s">
        <v>1030</v>
      </c>
      <c r="D293" s="1519"/>
    </row>
    <row r="294" spans="1:4" ht="12.5" x14ac:dyDescent="0.25">
      <c r="A294" s="1519"/>
      <c r="B294" s="1532" t="s">
        <v>230</v>
      </c>
      <c r="C294" s="2005" t="s">
        <v>1030</v>
      </c>
      <c r="D294" s="1519"/>
    </row>
    <row r="295" spans="1:4" ht="12.5" x14ac:dyDescent="0.25">
      <c r="A295" s="1519"/>
      <c r="B295" s="1532" t="s">
        <v>1151</v>
      </c>
      <c r="C295" s="2005" t="s">
        <v>1030</v>
      </c>
      <c r="D295" s="1519"/>
    </row>
    <row r="296" spans="1:4" ht="12.5" x14ac:dyDescent="0.25">
      <c r="A296" s="1519"/>
      <c r="B296" s="1532" t="s">
        <v>231</v>
      </c>
      <c r="C296" s="2005" t="s">
        <v>1030</v>
      </c>
      <c r="D296" s="1519"/>
    </row>
    <row r="297" spans="1:4" ht="12.5" x14ac:dyDescent="0.25">
      <c r="A297" s="1519"/>
      <c r="B297" s="1532" t="s">
        <v>232</v>
      </c>
      <c r="C297" s="2005" t="s">
        <v>1030</v>
      </c>
      <c r="D297" s="1519"/>
    </row>
    <row r="298" spans="1:4" ht="12.5" x14ac:dyDescent="0.25">
      <c r="A298" s="1519"/>
      <c r="B298" s="1532" t="s">
        <v>233</v>
      </c>
      <c r="C298" s="2005" t="s">
        <v>1030</v>
      </c>
      <c r="D298" s="1519"/>
    </row>
    <row r="299" spans="1:4" ht="12.5" x14ac:dyDescent="0.25">
      <c r="A299" s="1519"/>
      <c r="B299" s="1532" t="s">
        <v>234</v>
      </c>
      <c r="C299" s="2005" t="s">
        <v>1030</v>
      </c>
      <c r="D299" s="1519"/>
    </row>
    <row r="300" spans="1:4" ht="12.5" x14ac:dyDescent="0.25">
      <c r="A300" s="1519"/>
      <c r="B300" s="1532" t="s">
        <v>235</v>
      </c>
      <c r="C300" s="2005" t="s">
        <v>1030</v>
      </c>
      <c r="D300" s="1519"/>
    </row>
    <row r="301" spans="1:4" ht="12.5" x14ac:dyDescent="0.25">
      <c r="A301" s="1519"/>
      <c r="B301" s="1532" t="s">
        <v>236</v>
      </c>
      <c r="C301" s="2005" t="s">
        <v>1030</v>
      </c>
      <c r="D301" s="1519"/>
    </row>
    <row r="302" spans="1:4" ht="12.5" x14ac:dyDescent="0.25">
      <c r="A302" s="1519"/>
      <c r="B302" s="1532" t="s">
        <v>237</v>
      </c>
      <c r="C302" s="2005" t="s">
        <v>1030</v>
      </c>
      <c r="D302" s="1519"/>
    </row>
    <row r="303" spans="1:4" ht="12.5" x14ac:dyDescent="0.25">
      <c r="A303" s="1519"/>
      <c r="B303" s="1532" t="s">
        <v>1169</v>
      </c>
      <c r="C303" s="2005" t="s">
        <v>1030</v>
      </c>
      <c r="D303" s="1519"/>
    </row>
    <row r="304" spans="1:4" ht="12.5" x14ac:dyDescent="0.25">
      <c r="A304" s="1519"/>
      <c r="B304" s="1532" t="s">
        <v>238</v>
      </c>
      <c r="C304" s="2005" t="s">
        <v>1030</v>
      </c>
      <c r="D304" s="1519"/>
    </row>
    <row r="305" spans="1:4" ht="12.5" x14ac:dyDescent="0.25">
      <c r="A305" s="1519"/>
      <c r="B305" s="1532" t="s">
        <v>239</v>
      </c>
      <c r="C305" s="2005" t="s">
        <v>1030</v>
      </c>
      <c r="D305" s="1519"/>
    </row>
    <row r="306" spans="1:4" ht="12.5" x14ac:dyDescent="0.25">
      <c r="A306" s="1519"/>
      <c r="B306" s="1532" t="s">
        <v>240</v>
      </c>
      <c r="C306" s="2005" t="s">
        <v>1030</v>
      </c>
      <c r="D306" s="1519"/>
    </row>
    <row r="307" spans="1:4" ht="12.5" x14ac:dyDescent="0.25">
      <c r="A307" s="1519"/>
      <c r="B307" s="1532" t="s">
        <v>1180</v>
      </c>
      <c r="C307" s="2005" t="s">
        <v>1030</v>
      </c>
      <c r="D307" s="1519"/>
    </row>
    <row r="308" spans="1:4" x14ac:dyDescent="0.2">
      <c r="B308" s="2">
        <f>COUNTA(B30:B307)</f>
        <v>278</v>
      </c>
    </row>
  </sheetData>
  <phoneticPr fontId="2" type="noConversion"/>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enableFormatConditionsCalculation="0">
    <tabColor indexed="42"/>
    <pageSetUpPr fitToPage="1"/>
  </sheetPr>
  <dimension ref="A1:O85"/>
  <sheetViews>
    <sheetView showGridLines="0" zoomScaleNormal="100" workbookViewId="0">
      <pane xSplit="2" ySplit="3" topLeftCell="C61" activePane="bottomRight" state="frozen"/>
      <selection pane="topRight"/>
      <selection pane="bottomLeft"/>
      <selection pane="bottomRight" activeCell="I50" sqref="I50"/>
    </sheetView>
  </sheetViews>
  <sheetFormatPr defaultColWidth="9.1796875" defaultRowHeight="10.5" x14ac:dyDescent="0.25"/>
  <cols>
    <col min="1" max="1" width="30.7265625" style="149" customWidth="1"/>
    <col min="2" max="2" width="3" style="247" customWidth="1"/>
    <col min="3" max="11" width="9.26953125" style="149" customWidth="1"/>
    <col min="12" max="12" width="9.81640625" style="149" customWidth="1"/>
    <col min="13" max="13" width="9.54296875" style="149" customWidth="1"/>
    <col min="14" max="14" width="9.81640625" style="149" customWidth="1"/>
    <col min="15" max="17" width="9.54296875" style="149" customWidth="1"/>
    <col min="18" max="18" width="9.81640625" style="149" customWidth="1"/>
    <col min="19" max="21" width="9.54296875" style="149" customWidth="1"/>
    <col min="22" max="23" width="9.81640625" style="149" customWidth="1"/>
    <col min="24" max="16384" width="9.1796875" style="149"/>
  </cols>
  <sheetData>
    <row r="1" spans="1:11" ht="13.5" customHeight="1" x14ac:dyDescent="0.3">
      <c r="A1" s="147" t="str">
        <f>muni&amp;" - "&amp; TableA19</f>
        <v>KZN225 Msunduzi - Supporting Table SA19 Expenditure on transfers and grant programme</v>
      </c>
      <c r="B1" s="147"/>
      <c r="C1" s="147"/>
      <c r="D1" s="147"/>
      <c r="E1" s="147"/>
      <c r="F1" s="147"/>
      <c r="G1" s="147"/>
      <c r="H1" s="147"/>
      <c r="I1" s="147"/>
      <c r="J1" s="147"/>
      <c r="K1" s="147"/>
    </row>
    <row r="2" spans="1:11" ht="28.5" customHeight="1" x14ac:dyDescent="0.25">
      <c r="A2" s="985" t="str">
        <f>desc</f>
        <v>Description</v>
      </c>
      <c r="B2" s="419" t="str">
        <f>head27</f>
        <v>Ref</v>
      </c>
      <c r="C2" s="150" t="str">
        <f>head1b</f>
        <v>2009/10</v>
      </c>
      <c r="D2" s="756" t="str">
        <f>head1A</f>
        <v>2010/11</v>
      </c>
      <c r="E2" s="146" t="str">
        <f>Head1</f>
        <v>2011/12</v>
      </c>
      <c r="F2" s="2677" t="str">
        <f>Head2</f>
        <v>Current Year 2012/13</v>
      </c>
      <c r="G2" s="2678"/>
      <c r="H2" s="2682"/>
      <c r="I2" s="2674" t="str">
        <f>Head3</f>
        <v>2013/14 Medium Term Revenue &amp; Expenditure Framework</v>
      </c>
      <c r="J2" s="2675"/>
      <c r="K2" s="2676"/>
    </row>
    <row r="3" spans="1:11" ht="21" x14ac:dyDescent="0.25">
      <c r="A3" s="180" t="s">
        <v>665</v>
      </c>
      <c r="B3" s="990"/>
      <c r="C3" s="390" t="str">
        <f>Head5</f>
        <v>Audited Outcome</v>
      </c>
      <c r="D3" s="999" t="str">
        <f>Head5</f>
        <v>Audited Outcome</v>
      </c>
      <c r="E3" s="391" t="str">
        <f>Head5</f>
        <v>Audited Outcome</v>
      </c>
      <c r="F3" s="299" t="str">
        <f>Head6</f>
        <v>Original Budget</v>
      </c>
      <c r="G3" s="390" t="str">
        <f>Head7</f>
        <v>Adjusted Budget</v>
      </c>
      <c r="H3" s="391" t="str">
        <f>Head8</f>
        <v>Full Year Forecast</v>
      </c>
      <c r="I3" s="299" t="str">
        <f>Head9</f>
        <v>Budget Year 2013/14</v>
      </c>
      <c r="J3" s="390" t="str">
        <f>Head10</f>
        <v>Budget Year +1 2014/15</v>
      </c>
      <c r="K3" s="391" t="str">
        <f>Head11</f>
        <v>Budget Year +2 2015/16</v>
      </c>
    </row>
    <row r="4" spans="1:11" ht="11.25" customHeight="1" x14ac:dyDescent="0.25">
      <c r="A4" s="265" t="s">
        <v>307</v>
      </c>
      <c r="B4" s="749">
        <v>1</v>
      </c>
      <c r="C4" s="757"/>
      <c r="D4" s="757"/>
      <c r="E4" s="758"/>
      <c r="F4" s="759"/>
      <c r="G4" s="757"/>
      <c r="H4" s="760"/>
      <c r="I4" s="761"/>
      <c r="J4" s="757"/>
      <c r="K4" s="758"/>
    </row>
    <row r="5" spans="1:11" ht="5.15" customHeight="1" x14ac:dyDescent="0.25">
      <c r="A5" s="249"/>
      <c r="B5" s="182"/>
      <c r="C5" s="751"/>
      <c r="D5" s="751"/>
      <c r="E5" s="752"/>
      <c r="F5" s="753"/>
      <c r="G5" s="751"/>
      <c r="H5" s="754"/>
      <c r="I5" s="755"/>
      <c r="J5" s="751"/>
      <c r="K5" s="752"/>
    </row>
    <row r="6" spans="1:11" ht="11.25" customHeight="1" x14ac:dyDescent="0.25">
      <c r="A6" s="249" t="s">
        <v>357</v>
      </c>
      <c r="B6" s="182"/>
      <c r="C6" s="751"/>
      <c r="D6" s="751"/>
      <c r="E6" s="752"/>
      <c r="F6" s="753"/>
      <c r="G6" s="751"/>
      <c r="H6" s="754"/>
      <c r="I6" s="755"/>
      <c r="J6" s="751"/>
      <c r="K6" s="752"/>
    </row>
    <row r="7" spans="1:11" ht="18" customHeight="1" x14ac:dyDescent="0.25">
      <c r="A7" s="373" t="str">
        <f>'SA18'!A7</f>
        <v>National Government:</v>
      </c>
      <c r="B7" s="182"/>
      <c r="C7" s="751">
        <f>SUM(C8:C14)</f>
        <v>202978000</v>
      </c>
      <c r="D7" s="751">
        <f t="shared" ref="D7:K7" si="0">SUM(D8:D14)</f>
        <v>267375455.37</v>
      </c>
      <c r="E7" s="752">
        <f t="shared" si="0"/>
        <v>310326092.08000004</v>
      </c>
      <c r="F7" s="753">
        <f t="shared" si="0"/>
        <v>342704000</v>
      </c>
      <c r="G7" s="751">
        <f t="shared" si="0"/>
        <v>342704000</v>
      </c>
      <c r="H7" s="754">
        <f t="shared" si="0"/>
        <v>342704000</v>
      </c>
      <c r="I7" s="755">
        <f t="shared" si="0"/>
        <v>358627000</v>
      </c>
      <c r="J7" s="751">
        <f t="shared" si="0"/>
        <v>376211000</v>
      </c>
      <c r="K7" s="752">
        <f t="shared" si="0"/>
        <v>395917000</v>
      </c>
    </row>
    <row r="8" spans="1:11" ht="11.25" customHeight="1" x14ac:dyDescent="0.25">
      <c r="A8" s="368" t="str">
        <f>IF('SA18'!A8="","",'SA18'!A8)</f>
        <v>Local Government Equitable Share</v>
      </c>
      <c r="B8" s="182"/>
      <c r="C8" s="1918">
        <v>199824000</v>
      </c>
      <c r="D8" s="1918">
        <v>267210613</v>
      </c>
      <c r="E8" s="1919">
        <v>304835000</v>
      </c>
      <c r="F8" s="1922">
        <v>338903000</v>
      </c>
      <c r="G8" s="1922">
        <v>338903000</v>
      </c>
      <c r="H8" s="1922">
        <v>338903000</v>
      </c>
      <c r="I8" s="1918">
        <v>354313000</v>
      </c>
      <c r="J8" s="1919">
        <v>373677000</v>
      </c>
      <c r="K8" s="1919">
        <v>393300000</v>
      </c>
    </row>
    <row r="9" spans="1:11" ht="11.25" customHeight="1" x14ac:dyDescent="0.25">
      <c r="A9" s="368" t="str">
        <f>IF('SA18'!A9="","",'SA18'!A9)</f>
        <v xml:space="preserve">Finance Management </v>
      </c>
      <c r="B9" s="182"/>
      <c r="C9" s="1908">
        <v>750000</v>
      </c>
      <c r="D9" s="1908">
        <v>164842.37</v>
      </c>
      <c r="E9" s="1909">
        <v>1979465.94</v>
      </c>
      <c r="F9" s="1912">
        <v>1500000</v>
      </c>
      <c r="G9" s="1912">
        <v>1500000</v>
      </c>
      <c r="H9" s="1912">
        <v>1500000</v>
      </c>
      <c r="I9" s="1908">
        <v>1550000</v>
      </c>
      <c r="J9" s="1909">
        <v>1600000</v>
      </c>
      <c r="K9" s="1909">
        <v>1650000</v>
      </c>
    </row>
    <row r="10" spans="1:11" ht="11.25" customHeight="1" x14ac:dyDescent="0.25">
      <c r="A10" s="368" t="str">
        <f>IF('SA18'!A10="","",'SA18'!A10)</f>
        <v>Municipal Systems Improvement</v>
      </c>
      <c r="B10" s="182"/>
      <c r="C10" s="1908"/>
      <c r="D10" s="1908"/>
      <c r="E10" s="1909">
        <v>977632.6</v>
      </c>
      <c r="F10" s="1912">
        <v>800000</v>
      </c>
      <c r="G10" s="1912">
        <v>800000</v>
      </c>
      <c r="H10" s="1912">
        <v>800000</v>
      </c>
      <c r="I10" s="1908">
        <v>890000</v>
      </c>
      <c r="J10" s="1909">
        <v>934000</v>
      </c>
      <c r="K10" s="1909">
        <v>967000</v>
      </c>
    </row>
    <row r="11" spans="1:11" ht="11.25" customHeight="1" x14ac:dyDescent="0.25">
      <c r="A11" s="368" t="str">
        <f>IF('SA18'!A11="","",'SA18'!A11)</f>
        <v>EPWP Incentive</v>
      </c>
      <c r="B11" s="182"/>
      <c r="C11" s="1908"/>
      <c r="D11" s="1908"/>
      <c r="E11" s="1909"/>
      <c r="F11" s="1912">
        <v>1501000</v>
      </c>
      <c r="G11" s="1912">
        <v>1501000</v>
      </c>
      <c r="H11" s="1912">
        <v>1501000</v>
      </c>
      <c r="I11" s="1908">
        <v>1874000</v>
      </c>
      <c r="J11" s="1909"/>
      <c r="K11" s="1909"/>
    </row>
    <row r="12" spans="1:11" ht="11.25" customHeight="1" x14ac:dyDescent="0.25">
      <c r="A12" s="368" t="str">
        <f>IF('SA18'!A12="","",'SA18'!A12)</f>
        <v>Electricity Demand Side Management</v>
      </c>
      <c r="B12" s="182"/>
      <c r="C12" s="1908">
        <v>2404000</v>
      </c>
      <c r="D12" s="1908"/>
      <c r="E12" s="1909">
        <v>2533993.54</v>
      </c>
      <c r="F12" s="1910"/>
      <c r="G12" s="1910"/>
      <c r="H12" s="1911"/>
      <c r="I12" s="1908">
        <v>0</v>
      </c>
      <c r="J12" s="1909">
        <v>0</v>
      </c>
      <c r="K12" s="1909"/>
    </row>
    <row r="13" spans="1:11" ht="11.25" customHeight="1" x14ac:dyDescent="0.25">
      <c r="A13" s="368" t="str">
        <f>IF('SA18'!A13="","",'SA18'!A13)</f>
        <v xml:space="preserve">Water Services Operating Subsidy </v>
      </c>
      <c r="B13" s="182"/>
      <c r="C13" s="1908"/>
      <c r="D13" s="1908"/>
      <c r="E13" s="1909"/>
      <c r="F13" s="1910"/>
      <c r="G13" s="1910"/>
      <c r="H13" s="1911"/>
      <c r="I13" s="1908"/>
      <c r="J13" s="1909"/>
      <c r="K13" s="1909"/>
    </row>
    <row r="14" spans="1:11" ht="11.25" customHeight="1" x14ac:dyDescent="0.25">
      <c r="A14" s="1917" t="str">
        <f>'SA18'!A14</f>
        <v xml:space="preserve">  Other transfers/grants [insert description]</v>
      </c>
      <c r="B14" s="182"/>
      <c r="C14" s="1923"/>
      <c r="D14" s="1923"/>
      <c r="E14" s="1924"/>
      <c r="F14" s="1925"/>
      <c r="G14" s="1925"/>
      <c r="H14" s="1926"/>
      <c r="I14" s="1923"/>
      <c r="J14" s="1924"/>
      <c r="K14" s="1924"/>
    </row>
    <row r="15" spans="1:11" ht="18" customHeight="1" x14ac:dyDescent="0.25">
      <c r="A15" s="373" t="str">
        <f>'SA18'!A15</f>
        <v>Provincial Government:</v>
      </c>
      <c r="B15" s="182"/>
      <c r="C15" s="751">
        <f>SUM(C16:C20)</f>
        <v>0</v>
      </c>
      <c r="D15" s="751">
        <f t="shared" ref="D15:K15" si="1">SUM(D16:D20)</f>
        <v>0</v>
      </c>
      <c r="E15" s="752">
        <f t="shared" si="1"/>
        <v>4074253.8499999996</v>
      </c>
      <c r="F15" s="753">
        <f t="shared" si="1"/>
        <v>22500000</v>
      </c>
      <c r="G15" s="751">
        <f t="shared" si="1"/>
        <v>22500000</v>
      </c>
      <c r="H15" s="754">
        <f t="shared" si="1"/>
        <v>22500000</v>
      </c>
      <c r="I15" s="755">
        <f t="shared" si="1"/>
        <v>47573000</v>
      </c>
      <c r="J15" s="751">
        <f t="shared" si="1"/>
        <v>48099000</v>
      </c>
      <c r="K15" s="752">
        <f t="shared" si="1"/>
        <v>0</v>
      </c>
    </row>
    <row r="16" spans="1:11" ht="11.25" customHeight="1" x14ac:dyDescent="0.25">
      <c r="A16" s="368" t="str">
        <f>IF('SA18'!A16="","",'SA18'!A16)</f>
        <v>Health subsidy</v>
      </c>
      <c r="B16" s="182"/>
      <c r="C16" s="1918"/>
      <c r="D16" s="1918"/>
      <c r="E16" s="1919"/>
      <c r="F16" s="1910">
        <v>2537000</v>
      </c>
      <c r="G16" s="1910">
        <v>2537000</v>
      </c>
      <c r="H16" s="1910">
        <v>2537000</v>
      </c>
      <c r="I16" s="1908"/>
      <c r="J16" s="1909"/>
      <c r="K16" s="1919"/>
    </row>
    <row r="17" spans="1:12" ht="11.25" customHeight="1" x14ac:dyDescent="0.25">
      <c r="A17" s="368" t="str">
        <f>IF('SA18'!A17="","",'SA18'!A17)</f>
        <v>Provincial Government:</v>
      </c>
      <c r="B17" s="182"/>
      <c r="C17" s="1908"/>
      <c r="D17" s="1908"/>
      <c r="E17" s="1909">
        <v>1206538.05</v>
      </c>
      <c r="F17" s="1910"/>
      <c r="G17" s="1908"/>
      <c r="H17" s="1911"/>
      <c r="I17" s="1908">
        <v>26020000</v>
      </c>
      <c r="J17" s="1909">
        <v>25518000</v>
      </c>
      <c r="K17" s="1909"/>
    </row>
    <row r="18" spans="1:12" ht="11.25" customHeight="1" x14ac:dyDescent="0.25">
      <c r="A18" s="368" t="str">
        <f>IF('SA18'!A20="","",'SA18'!A20)</f>
        <v>Operating Grant - Property Rates</v>
      </c>
      <c r="B18" s="182"/>
      <c r="C18" s="1908"/>
      <c r="D18" s="1908"/>
      <c r="E18" s="1909"/>
      <c r="F18" s="1910"/>
      <c r="G18" s="1908"/>
      <c r="H18" s="1911"/>
      <c r="I18" s="1908"/>
      <c r="J18" s="1909"/>
      <c r="K18" s="1909"/>
    </row>
    <row r="19" spans="1:12" ht="11.25" customHeight="1" x14ac:dyDescent="0.25">
      <c r="A19" s="368" t="str">
        <f>IF('SA18'!A23="","",'SA18'!A23)</f>
        <v>Public Works</v>
      </c>
      <c r="B19" s="182"/>
      <c r="C19" s="1908"/>
      <c r="D19" s="1908"/>
      <c r="E19" s="1909">
        <v>2867715.8</v>
      </c>
      <c r="F19" s="1925">
        <v>10963000</v>
      </c>
      <c r="G19" s="1925">
        <v>10963000</v>
      </c>
      <c r="H19" s="1925">
        <v>10963000</v>
      </c>
      <c r="I19" s="1908">
        <v>21553000</v>
      </c>
      <c r="J19" s="1909">
        <v>22581000</v>
      </c>
      <c r="K19" s="1909"/>
    </row>
    <row r="20" spans="1:12" ht="11.25" customHeight="1" x14ac:dyDescent="0.25">
      <c r="A20" s="1917" t="s">
        <v>2308</v>
      </c>
      <c r="B20" s="182"/>
      <c r="C20" s="1923"/>
      <c r="D20" s="1923"/>
      <c r="E20" s="1924"/>
      <c r="F20" s="1910">
        <v>9000000</v>
      </c>
      <c r="G20" s="1910">
        <v>9000000</v>
      </c>
      <c r="H20" s="1910">
        <v>9000000</v>
      </c>
      <c r="I20" s="1927"/>
      <c r="J20" s="1923"/>
      <c r="K20" s="1924"/>
      <c r="L20" s="370"/>
    </row>
    <row r="21" spans="1:12" ht="18" customHeight="1" x14ac:dyDescent="0.25">
      <c r="A21" s="373" t="str">
        <f>'SA18'!A25</f>
        <v>District Municipality:</v>
      </c>
      <c r="B21" s="182"/>
      <c r="C21" s="751">
        <f>SUM(C22:C23)</f>
        <v>0</v>
      </c>
      <c r="D21" s="751">
        <f t="shared" ref="D21:K21" si="2">SUM(D22:D23)</f>
        <v>0</v>
      </c>
      <c r="E21" s="752">
        <f t="shared" si="2"/>
        <v>0</v>
      </c>
      <c r="F21" s="753">
        <f t="shared" si="2"/>
        <v>0</v>
      </c>
      <c r="G21" s="751">
        <f t="shared" si="2"/>
        <v>0</v>
      </c>
      <c r="H21" s="754">
        <f t="shared" si="2"/>
        <v>0</v>
      </c>
      <c r="I21" s="755">
        <f t="shared" si="2"/>
        <v>0</v>
      </c>
      <c r="J21" s="751">
        <f t="shared" si="2"/>
        <v>0</v>
      </c>
      <c r="K21" s="752">
        <f t="shared" si="2"/>
        <v>0</v>
      </c>
      <c r="L21" s="370"/>
    </row>
    <row r="22" spans="1:12" ht="11.25" customHeight="1" x14ac:dyDescent="0.25">
      <c r="A22" s="1928" t="str">
        <f>'SA18'!A26</f>
        <v xml:space="preserve">  [insert description]</v>
      </c>
      <c r="B22" s="182"/>
      <c r="C22" s="1918"/>
      <c r="D22" s="1918"/>
      <c r="E22" s="1919"/>
      <c r="F22" s="1920"/>
      <c r="G22" s="1918"/>
      <c r="H22" s="1921"/>
      <c r="I22" s="1922"/>
      <c r="J22" s="1918"/>
      <c r="K22" s="1919"/>
      <c r="L22" s="370"/>
    </row>
    <row r="23" spans="1:12" ht="11.25" customHeight="1" x14ac:dyDescent="0.25">
      <c r="A23" s="1928"/>
      <c r="B23" s="182"/>
      <c r="C23" s="1923"/>
      <c r="D23" s="1923"/>
      <c r="E23" s="1924"/>
      <c r="F23" s="1925"/>
      <c r="G23" s="1923"/>
      <c r="H23" s="1926"/>
      <c r="I23" s="1927"/>
      <c r="J23" s="1923"/>
      <c r="K23" s="1924"/>
      <c r="L23" s="370"/>
    </row>
    <row r="24" spans="1:12" ht="18" customHeight="1" x14ac:dyDescent="0.25">
      <c r="A24" s="373" t="str">
        <f>'SA18'!A28</f>
        <v>Other grant providers:</v>
      </c>
      <c r="B24" s="182"/>
      <c r="C24" s="751">
        <f>SUM(C25:C26)</f>
        <v>0</v>
      </c>
      <c r="D24" s="751">
        <f t="shared" ref="D24:K24" si="3">SUM(D25:D26)</f>
        <v>0</v>
      </c>
      <c r="E24" s="752">
        <f t="shared" si="3"/>
        <v>0</v>
      </c>
      <c r="F24" s="753">
        <f t="shared" si="3"/>
        <v>0</v>
      </c>
      <c r="G24" s="751">
        <f t="shared" si="3"/>
        <v>0</v>
      </c>
      <c r="H24" s="754">
        <f t="shared" si="3"/>
        <v>0</v>
      </c>
      <c r="I24" s="755">
        <f t="shared" si="3"/>
        <v>0</v>
      </c>
      <c r="J24" s="751">
        <f t="shared" si="3"/>
        <v>0</v>
      </c>
      <c r="K24" s="752">
        <f t="shared" si="3"/>
        <v>0</v>
      </c>
      <c r="L24" s="370"/>
    </row>
    <row r="25" spans="1:12" ht="11.25" customHeight="1" x14ac:dyDescent="0.25">
      <c r="A25" s="1928" t="str">
        <f>'SA18'!A29</f>
        <v xml:space="preserve">  [insert description]</v>
      </c>
      <c r="B25" s="182"/>
      <c r="C25" s="1918"/>
      <c r="D25" s="1918"/>
      <c r="E25" s="1919"/>
      <c r="F25" s="1920"/>
      <c r="G25" s="1918"/>
      <c r="H25" s="1921"/>
      <c r="I25" s="1922"/>
      <c r="J25" s="1918"/>
      <c r="K25" s="1919"/>
      <c r="L25" s="370"/>
    </row>
    <row r="26" spans="1:12" ht="11.25" customHeight="1" x14ac:dyDescent="0.25">
      <c r="A26" s="1928"/>
      <c r="B26" s="182"/>
      <c r="C26" s="1923"/>
      <c r="D26" s="1923"/>
      <c r="E26" s="1924"/>
      <c r="F26" s="1925"/>
      <c r="G26" s="1923"/>
      <c r="H26" s="1926"/>
      <c r="I26" s="1927"/>
      <c r="J26" s="1923"/>
      <c r="K26" s="1924"/>
      <c r="L26" s="370"/>
    </row>
    <row r="27" spans="1:12" s="769" customFormat="1" ht="15.75" customHeight="1" x14ac:dyDescent="0.25">
      <c r="A27" s="762" t="s">
        <v>358</v>
      </c>
      <c r="B27" s="763"/>
      <c r="C27" s="764">
        <f t="shared" ref="C27:K27" si="4">C7+C15+C21+C24</f>
        <v>202978000</v>
      </c>
      <c r="D27" s="764">
        <f t="shared" si="4"/>
        <v>267375455.37</v>
      </c>
      <c r="E27" s="765">
        <f t="shared" si="4"/>
        <v>314400345.93000007</v>
      </c>
      <c r="F27" s="766">
        <f t="shared" si="4"/>
        <v>365204000</v>
      </c>
      <c r="G27" s="764">
        <f t="shared" si="4"/>
        <v>365204000</v>
      </c>
      <c r="H27" s="767">
        <f t="shared" si="4"/>
        <v>365204000</v>
      </c>
      <c r="I27" s="768">
        <f t="shared" si="4"/>
        <v>406200000</v>
      </c>
      <c r="J27" s="764">
        <f t="shared" si="4"/>
        <v>424310000</v>
      </c>
      <c r="K27" s="765">
        <f t="shared" si="4"/>
        <v>395917000</v>
      </c>
      <c r="L27" s="891"/>
    </row>
    <row r="28" spans="1:12" ht="5.15" customHeight="1" x14ac:dyDescent="0.25">
      <c r="A28" s="273"/>
      <c r="B28" s="182"/>
      <c r="C28" s="715"/>
      <c r="D28" s="715"/>
      <c r="E28" s="711"/>
      <c r="F28" s="712"/>
      <c r="G28" s="715"/>
      <c r="H28" s="713"/>
      <c r="I28" s="716"/>
      <c r="J28" s="715"/>
      <c r="K28" s="711"/>
      <c r="L28" s="370"/>
    </row>
    <row r="29" spans="1:12" ht="11.25" customHeight="1" x14ac:dyDescent="0.25">
      <c r="A29" s="249" t="s">
        <v>359</v>
      </c>
      <c r="B29" s="182"/>
      <c r="C29" s="715"/>
      <c r="D29" s="715"/>
      <c r="E29" s="711"/>
      <c r="F29" s="712"/>
      <c r="G29" s="715"/>
      <c r="H29" s="713"/>
      <c r="I29" s="716"/>
      <c r="J29" s="715"/>
      <c r="K29" s="711"/>
      <c r="L29" s="370"/>
    </row>
    <row r="30" spans="1:12" ht="18" customHeight="1" x14ac:dyDescent="0.25">
      <c r="A30" s="373" t="str">
        <f>'SA18'!A34</f>
        <v>National Government:</v>
      </c>
      <c r="B30" s="182"/>
      <c r="C30" s="751">
        <f>SUM(C31:C38)</f>
        <v>0</v>
      </c>
      <c r="D30" s="751">
        <f t="shared" ref="D30:K30" si="5">SUM(D31:D38)</f>
        <v>0</v>
      </c>
      <c r="E30" s="752">
        <f t="shared" si="5"/>
        <v>0</v>
      </c>
      <c r="F30" s="753">
        <f t="shared" si="5"/>
        <v>208599000</v>
      </c>
      <c r="G30" s="751">
        <f t="shared" si="5"/>
        <v>160485000</v>
      </c>
      <c r="H30" s="754">
        <f t="shared" si="5"/>
        <v>160485000</v>
      </c>
      <c r="I30" s="755">
        <f t="shared" si="5"/>
        <v>403158405</v>
      </c>
      <c r="J30" s="751">
        <f t="shared" si="5"/>
        <v>194271000</v>
      </c>
      <c r="K30" s="752">
        <f t="shared" si="5"/>
        <v>192390000</v>
      </c>
      <c r="L30" s="370"/>
    </row>
    <row r="31" spans="1:12" ht="11.25" customHeight="1" x14ac:dyDescent="0.25">
      <c r="A31" s="368" t="str">
        <f>IF('SA18'!A35="","",'SA18'!A35)</f>
        <v xml:space="preserve"> Municipal Infrastructure Grant (MIG)</v>
      </c>
      <c r="B31" s="182"/>
      <c r="C31" s="1918"/>
      <c r="D31" s="1918"/>
      <c r="E31" s="1919"/>
      <c r="F31" s="1920">
        <v>153399000</v>
      </c>
      <c r="G31" s="1920">
        <v>150170000</v>
      </c>
      <c r="H31" s="1920">
        <v>150170000</v>
      </c>
      <c r="I31" s="1918">
        <v>151312405</v>
      </c>
      <c r="J31" s="1919">
        <v>159271000</v>
      </c>
      <c r="K31" s="1919">
        <v>170390000</v>
      </c>
      <c r="L31" s="370"/>
    </row>
    <row r="32" spans="1:12" ht="11.25" customHeight="1" x14ac:dyDescent="0.25">
      <c r="A32" s="368" t="str">
        <f>IF([6]SA18!A40="","",[6]SA18!A36)</f>
        <v xml:space="preserve"> Public Transport and Systems</v>
      </c>
      <c r="B32" s="182"/>
      <c r="C32" s="1908"/>
      <c r="D32" s="1908"/>
      <c r="E32" s="1909"/>
      <c r="F32" s="1910">
        <v>45000000</v>
      </c>
      <c r="G32" s="1910">
        <v>0</v>
      </c>
      <c r="H32" s="1910">
        <v>0</v>
      </c>
      <c r="I32" s="1908">
        <v>100846000</v>
      </c>
      <c r="J32" s="1909">
        <v>0</v>
      </c>
      <c r="K32" s="1909">
        <v>0</v>
      </c>
      <c r="L32" s="370"/>
    </row>
    <row r="33" spans="1:15" ht="11.25" customHeight="1" x14ac:dyDescent="0.25">
      <c r="A33" s="368" t="str">
        <f>IF([6]SA18!A41="","",[6]SA18!A37)</f>
        <v>Neighbourhood Development Partnership</v>
      </c>
      <c r="B33" s="182"/>
      <c r="C33" s="1908"/>
      <c r="D33" s="1908"/>
      <c r="E33" s="1909"/>
      <c r="F33" s="1910">
        <v>700000</v>
      </c>
      <c r="G33" s="1910">
        <v>70000</v>
      </c>
      <c r="H33" s="1910">
        <v>70000</v>
      </c>
      <c r="I33" s="1908"/>
      <c r="J33" s="1909"/>
      <c r="K33" s="1909"/>
      <c r="L33" s="370"/>
    </row>
    <row r="34" spans="1:15" ht="11.25" customHeight="1" x14ac:dyDescent="0.25">
      <c r="A34" s="368" t="str">
        <f>IF([6]SA18!A42="","",[6]SA18!A38)</f>
        <v xml:space="preserve">Rural Households Infrastructure </v>
      </c>
      <c r="B34" s="182"/>
      <c r="C34" s="1908"/>
      <c r="D34" s="1908"/>
      <c r="E34" s="1909"/>
      <c r="F34" s="1910">
        <v>4500000</v>
      </c>
      <c r="G34" s="1910">
        <v>0</v>
      </c>
      <c r="H34" s="1910">
        <v>0</v>
      </c>
      <c r="I34" s="1908"/>
      <c r="J34" s="1909"/>
      <c r="K34" s="1909"/>
      <c r="L34" s="370"/>
    </row>
    <row r="35" spans="1:15" ht="11.25" customHeight="1" x14ac:dyDescent="0.25">
      <c r="A35" s="368" t="str">
        <f>IF([6]SA18!A43="","",[6]SA18!A39)</f>
        <v>Dept of Mineral/Electricty</v>
      </c>
      <c r="B35" s="182"/>
      <c r="C35" s="1908"/>
      <c r="D35" s="1908"/>
      <c r="E35" s="1909"/>
      <c r="F35" s="1910"/>
      <c r="G35" s="1910">
        <v>5000000</v>
      </c>
      <c r="H35" s="1910">
        <v>5000000</v>
      </c>
      <c r="I35" s="1908">
        <v>8000000</v>
      </c>
      <c r="J35" s="1909">
        <v>5000000</v>
      </c>
      <c r="K35" s="1909">
        <v>10000000</v>
      </c>
      <c r="L35" s="370"/>
    </row>
    <row r="36" spans="1:15" ht="11.25" customHeight="1" x14ac:dyDescent="0.25">
      <c r="A36" s="368" t="str">
        <f>IF([6]SA18!A44="","",[6]SA18!A40)</f>
        <v>Intergrated National Electrification Porgramme</v>
      </c>
      <c r="B36" s="182"/>
      <c r="C36" s="1908"/>
      <c r="D36" s="1908"/>
      <c r="E36" s="1909"/>
      <c r="F36" s="1910">
        <v>5000000</v>
      </c>
      <c r="G36" s="1910">
        <v>5000000</v>
      </c>
      <c r="H36" s="1910">
        <v>5000000</v>
      </c>
      <c r="I36" s="1908">
        <v>143000000</v>
      </c>
      <c r="J36" s="1909">
        <v>30000000</v>
      </c>
      <c r="K36" s="1909">
        <v>12000000</v>
      </c>
      <c r="L36" s="370"/>
    </row>
    <row r="37" spans="1:15" ht="11.25" customHeight="1" x14ac:dyDescent="0.25">
      <c r="A37" s="368" t="str">
        <f>IF([6]SA18!A45="","",[6]SA18!A41)</f>
        <v>Other capital transfers/grants [insert description]</v>
      </c>
      <c r="B37" s="182"/>
      <c r="C37" s="1908"/>
      <c r="D37" s="1908"/>
      <c r="E37" s="1909"/>
      <c r="F37" s="1910"/>
      <c r="G37" s="1910">
        <v>245000</v>
      </c>
      <c r="H37" s="1910">
        <v>245000</v>
      </c>
      <c r="I37" s="1908"/>
      <c r="J37" s="1909"/>
      <c r="K37" s="1909"/>
      <c r="L37" s="370"/>
    </row>
    <row r="38" spans="1:15" ht="11.25" customHeight="1" x14ac:dyDescent="0.25">
      <c r="A38" s="2631"/>
      <c r="B38" s="182"/>
      <c r="C38" s="1923"/>
      <c r="D38" s="1923"/>
      <c r="E38" s="1924"/>
      <c r="F38" s="1910"/>
      <c r="G38" s="1910"/>
      <c r="H38" s="1910"/>
      <c r="I38" s="1923"/>
      <c r="J38" s="1924">
        <v>0</v>
      </c>
      <c r="K38" s="1924">
        <v>0</v>
      </c>
      <c r="L38" s="370"/>
    </row>
    <row r="39" spans="1:15" ht="18" customHeight="1" x14ac:dyDescent="0.25">
      <c r="A39" s="770" t="str">
        <f>'SA18'!A42</f>
        <v>Provincial Government:</v>
      </c>
      <c r="B39" s="182"/>
      <c r="C39" s="751">
        <f>SUM(C40)</f>
        <v>0</v>
      </c>
      <c r="D39" s="751">
        <f t="shared" ref="D39:K39" si="6">SUM(D40)</f>
        <v>0</v>
      </c>
      <c r="E39" s="752">
        <f t="shared" si="6"/>
        <v>0</v>
      </c>
      <c r="F39" s="753">
        <f>SUM(F40+F41)</f>
        <v>21415000</v>
      </c>
      <c r="G39" s="751">
        <f>SUM(G40+G41+G42+G43)</f>
        <v>56233734</v>
      </c>
      <c r="H39" s="751">
        <f>SUM(H40+H41+H42+H43)</f>
        <v>56233734</v>
      </c>
      <c r="I39" s="755">
        <f>SUM(I42)</f>
        <v>12500000</v>
      </c>
      <c r="J39" s="751">
        <f t="shared" si="6"/>
        <v>0</v>
      </c>
      <c r="K39" s="752">
        <f t="shared" si="6"/>
        <v>0</v>
      </c>
      <c r="L39" s="370"/>
      <c r="O39" s="370"/>
    </row>
    <row r="40" spans="1:15" x14ac:dyDescent="0.25">
      <c r="A40" s="1929" t="str">
        <f>'SA18'!A43</f>
        <v>Airport Development Project</v>
      </c>
      <c r="B40" s="182"/>
      <c r="C40" s="1930"/>
      <c r="D40" s="1930"/>
      <c r="E40" s="1931"/>
      <c r="F40" s="1932">
        <v>19315000</v>
      </c>
      <c r="G40" s="1932">
        <v>16760000</v>
      </c>
      <c r="H40" s="1932">
        <v>16760000</v>
      </c>
      <c r="I40" s="1930"/>
      <c r="J40" s="1931"/>
      <c r="K40" s="1931"/>
      <c r="L40" s="370"/>
    </row>
    <row r="41" spans="1:15" x14ac:dyDescent="0.25">
      <c r="A41" s="1929" t="s">
        <v>1921</v>
      </c>
      <c r="B41" s="182"/>
      <c r="C41" s="1908"/>
      <c r="D41" s="1908"/>
      <c r="E41" s="1909"/>
      <c r="F41" s="1910">
        <v>2100000</v>
      </c>
      <c r="G41" s="1910">
        <v>2100000</v>
      </c>
      <c r="H41" s="1910">
        <v>2100000</v>
      </c>
      <c r="I41" s="2632"/>
      <c r="J41" s="1911"/>
      <c r="K41" s="1909"/>
      <c r="L41" s="370"/>
    </row>
    <row r="42" spans="1:15" x14ac:dyDescent="0.25">
      <c r="A42" s="1929" t="s">
        <v>2467</v>
      </c>
      <c r="B42" s="182"/>
      <c r="C42" s="1908"/>
      <c r="D42" s="1908"/>
      <c r="E42" s="1909"/>
      <c r="F42" s="1910"/>
      <c r="G42" s="1911">
        <v>37289058</v>
      </c>
      <c r="H42" s="1911">
        <v>37289058</v>
      </c>
      <c r="I42" s="2632">
        <v>12500000</v>
      </c>
      <c r="J42" s="1911"/>
      <c r="K42" s="1909"/>
      <c r="L42" s="370"/>
    </row>
    <row r="43" spans="1:15" x14ac:dyDescent="0.25">
      <c r="A43" s="1929" t="s">
        <v>2468</v>
      </c>
      <c r="B43" s="182"/>
      <c r="C43" s="1908"/>
      <c r="D43" s="1908"/>
      <c r="E43" s="1909"/>
      <c r="F43" s="1910"/>
      <c r="G43" s="1911">
        <v>84676</v>
      </c>
      <c r="H43" s="1911">
        <v>84676</v>
      </c>
      <c r="I43" s="2632"/>
      <c r="J43" s="1911"/>
      <c r="K43" s="1909"/>
      <c r="L43" s="370"/>
    </row>
    <row r="44" spans="1:15" ht="18" customHeight="1" x14ac:dyDescent="0.25">
      <c r="A44" s="373" t="str">
        <f>'SA18'!A47</f>
        <v>District Municipality:</v>
      </c>
      <c r="B44" s="182"/>
      <c r="C44" s="751">
        <f>SUM(C45:C46)</f>
        <v>0</v>
      </c>
      <c r="D44" s="751">
        <f t="shared" ref="D44:K44" si="7">SUM(D45:D46)</f>
        <v>0</v>
      </c>
      <c r="E44" s="752">
        <f t="shared" si="7"/>
        <v>0</v>
      </c>
      <c r="F44" s="753">
        <f t="shared" si="7"/>
        <v>0</v>
      </c>
      <c r="G44" s="751">
        <f t="shared" si="7"/>
        <v>0</v>
      </c>
      <c r="H44" s="754">
        <f t="shared" si="7"/>
        <v>0</v>
      </c>
      <c r="I44" s="755">
        <f t="shared" si="7"/>
        <v>0</v>
      </c>
      <c r="J44" s="751">
        <f t="shared" si="7"/>
        <v>0</v>
      </c>
      <c r="K44" s="752">
        <f t="shared" si="7"/>
        <v>0</v>
      </c>
      <c r="L44" s="370"/>
    </row>
    <row r="45" spans="1:15" ht="11.25" customHeight="1" x14ac:dyDescent="0.25">
      <c r="A45" s="1928" t="str">
        <f>'SA18'!A48</f>
        <v xml:space="preserve">  [insert description]</v>
      </c>
      <c r="B45" s="182"/>
      <c r="C45" s="1918"/>
      <c r="D45" s="1918"/>
      <c r="E45" s="1919"/>
      <c r="F45" s="1920"/>
      <c r="G45" s="1918"/>
      <c r="H45" s="1921"/>
      <c r="I45" s="1922"/>
      <c r="J45" s="1918"/>
      <c r="K45" s="1919"/>
      <c r="L45" s="370"/>
    </row>
    <row r="46" spans="1:15" ht="11.25" customHeight="1" x14ac:dyDescent="0.25">
      <c r="A46" s="1928"/>
      <c r="B46" s="182"/>
      <c r="C46" s="1923"/>
      <c r="D46" s="1923"/>
      <c r="E46" s="1924"/>
      <c r="F46" s="1925"/>
      <c r="G46" s="1923"/>
      <c r="H46" s="1926"/>
      <c r="I46" s="1927"/>
      <c r="J46" s="1923"/>
      <c r="K46" s="1924"/>
      <c r="L46" s="370"/>
    </row>
    <row r="47" spans="1:15" ht="18" customHeight="1" x14ac:dyDescent="0.25">
      <c r="A47" s="373" t="str">
        <f>'SA18'!A50</f>
        <v>Other grant providers:</v>
      </c>
      <c r="B47" s="182"/>
      <c r="C47" s="751">
        <f>SUM(C48:C49)</f>
        <v>0</v>
      </c>
      <c r="D47" s="751">
        <f t="shared" ref="D47:K47" si="8">SUM(D48:D49)</f>
        <v>0</v>
      </c>
      <c r="E47" s="752">
        <f t="shared" si="8"/>
        <v>0</v>
      </c>
      <c r="F47" s="753">
        <f t="shared" si="8"/>
        <v>0</v>
      </c>
      <c r="G47" s="751">
        <f t="shared" si="8"/>
        <v>135193</v>
      </c>
      <c r="H47" s="754">
        <f t="shared" si="8"/>
        <v>135193</v>
      </c>
      <c r="I47" s="755">
        <f t="shared" si="8"/>
        <v>0</v>
      </c>
      <c r="J47" s="751">
        <f t="shared" si="8"/>
        <v>0</v>
      </c>
      <c r="K47" s="752">
        <f t="shared" si="8"/>
        <v>0</v>
      </c>
      <c r="L47" s="370"/>
    </row>
    <row r="48" spans="1:15" ht="11.25" customHeight="1" x14ac:dyDescent="0.25">
      <c r="A48" s="1928" t="str">
        <f>'SA18'!A51</f>
        <v>Carnegie</v>
      </c>
      <c r="B48" s="182"/>
      <c r="C48" s="1918"/>
      <c r="D48" s="1918"/>
      <c r="E48" s="1919"/>
      <c r="F48" s="1920"/>
      <c r="G48" s="1918">
        <v>135193</v>
      </c>
      <c r="H48" s="1921">
        <v>135193</v>
      </c>
      <c r="I48" s="1922"/>
      <c r="J48" s="1918"/>
      <c r="K48" s="1919"/>
      <c r="L48" s="370"/>
    </row>
    <row r="49" spans="1:12" ht="11.25" customHeight="1" x14ac:dyDescent="0.25">
      <c r="A49" s="1928"/>
      <c r="B49" s="182"/>
      <c r="C49" s="1923"/>
      <c r="D49" s="1923"/>
      <c r="E49" s="1924"/>
      <c r="F49" s="1925"/>
      <c r="G49" s="1923"/>
      <c r="H49" s="1926"/>
      <c r="I49" s="1927"/>
      <c r="J49" s="1923"/>
      <c r="K49" s="1924"/>
      <c r="L49" s="370"/>
    </row>
    <row r="50" spans="1:12" ht="15.75" customHeight="1" x14ac:dyDescent="0.25">
      <c r="A50" s="771" t="s">
        <v>360</v>
      </c>
      <c r="B50" s="772"/>
      <c r="C50" s="751">
        <f t="shared" ref="C50:K50" si="9">C30+C39+C44+C47</f>
        <v>0</v>
      </c>
      <c r="D50" s="751">
        <f t="shared" si="9"/>
        <v>0</v>
      </c>
      <c r="E50" s="752">
        <f t="shared" si="9"/>
        <v>0</v>
      </c>
      <c r="F50" s="753">
        <f t="shared" si="9"/>
        <v>230014000</v>
      </c>
      <c r="G50" s="751">
        <f t="shared" si="9"/>
        <v>216853927</v>
      </c>
      <c r="H50" s="754">
        <f t="shared" si="9"/>
        <v>216853927</v>
      </c>
      <c r="I50" s="755">
        <f t="shared" si="9"/>
        <v>415658405</v>
      </c>
      <c r="J50" s="751">
        <f t="shared" si="9"/>
        <v>194271000</v>
      </c>
      <c r="K50" s="752">
        <f t="shared" si="9"/>
        <v>192390000</v>
      </c>
      <c r="L50" s="370"/>
    </row>
    <row r="51" spans="1:12" ht="3.75" customHeight="1" x14ac:dyDescent="0.25">
      <c r="A51" s="273"/>
      <c r="B51" s="182"/>
      <c r="C51" s="715"/>
      <c r="D51" s="715"/>
      <c r="E51" s="711"/>
      <c r="F51" s="712"/>
      <c r="G51" s="715"/>
      <c r="H51" s="713"/>
      <c r="I51" s="716"/>
      <c r="J51" s="715"/>
      <c r="K51" s="711"/>
      <c r="L51" s="370"/>
    </row>
    <row r="52" spans="1:12" s="769" customFormat="1" ht="16.5" customHeight="1" x14ac:dyDescent="0.25">
      <c r="A52" s="1534" t="s">
        <v>564</v>
      </c>
      <c r="B52" s="1348"/>
      <c r="C52" s="775">
        <f t="shared" ref="C52:K52" si="10">C27+C50</f>
        <v>202978000</v>
      </c>
      <c r="D52" s="775">
        <f t="shared" si="10"/>
        <v>267375455.37</v>
      </c>
      <c r="E52" s="776">
        <f t="shared" si="10"/>
        <v>314400345.93000007</v>
      </c>
      <c r="F52" s="777">
        <f t="shared" si="10"/>
        <v>595218000</v>
      </c>
      <c r="G52" s="775">
        <f t="shared" si="10"/>
        <v>582057927</v>
      </c>
      <c r="H52" s="778">
        <f t="shared" si="10"/>
        <v>582057927</v>
      </c>
      <c r="I52" s="779">
        <f t="shared" si="10"/>
        <v>821858405</v>
      </c>
      <c r="J52" s="775">
        <f t="shared" si="10"/>
        <v>618581000</v>
      </c>
      <c r="K52" s="776">
        <f t="shared" si="10"/>
        <v>588307000</v>
      </c>
      <c r="L52" s="891"/>
    </row>
    <row r="53" spans="1:12" s="709" customFormat="1" ht="11.25" customHeight="1" x14ac:dyDescent="0.25">
      <c r="A53" s="1232" t="str">
        <f>head27a</f>
        <v>References</v>
      </c>
      <c r="B53" s="1048"/>
      <c r="L53" s="1086"/>
    </row>
    <row r="54" spans="1:12" s="709" customFormat="1" ht="11.25" customHeight="1" x14ac:dyDescent="0.25">
      <c r="A54" s="1194" t="s">
        <v>1394</v>
      </c>
      <c r="B54" s="1048"/>
      <c r="L54" s="1086"/>
    </row>
    <row r="55" spans="1:12" ht="11.25" customHeight="1" x14ac:dyDescent="0.25">
      <c r="L55" s="370"/>
    </row>
    <row r="56" spans="1:12" ht="11.25" customHeight="1" x14ac:dyDescent="0.25">
      <c r="L56" s="370"/>
    </row>
    <row r="57" spans="1:12" ht="11.25" customHeight="1" x14ac:dyDescent="0.25">
      <c r="L57" s="370"/>
    </row>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enableFormatConditionsCalculation="0">
    <tabColor indexed="42"/>
    <pageSetUpPr fitToPage="1"/>
  </sheetPr>
  <dimension ref="A1:O87"/>
  <sheetViews>
    <sheetView showGridLines="0" zoomScaleNormal="100" workbookViewId="0">
      <pane xSplit="2" ySplit="3" topLeftCell="C40" activePane="bottomRight" state="frozen"/>
      <selection pane="topRight"/>
      <selection pane="bottomLeft"/>
      <selection pane="bottomRight" activeCell="I59" sqref="I59"/>
    </sheetView>
  </sheetViews>
  <sheetFormatPr defaultColWidth="9.1796875" defaultRowHeight="10.5" x14ac:dyDescent="0.25"/>
  <cols>
    <col min="1" max="1" width="32.26953125" style="149" customWidth="1"/>
    <col min="2" max="2" width="3" style="247" customWidth="1"/>
    <col min="3" max="11" width="9.26953125" style="149" customWidth="1"/>
    <col min="12" max="12" width="9.81640625" style="149" customWidth="1"/>
    <col min="13" max="13" width="9.54296875" style="149" customWidth="1"/>
    <col min="14" max="14" width="9.81640625" style="149" customWidth="1"/>
    <col min="15" max="17" width="9.54296875" style="149" customWidth="1"/>
    <col min="18" max="18" width="9.81640625" style="149" customWidth="1"/>
    <col min="19" max="21" width="9.54296875" style="149" customWidth="1"/>
    <col min="22" max="23" width="9.81640625" style="149" customWidth="1"/>
    <col min="24" max="16384" width="9.1796875" style="149"/>
  </cols>
  <sheetData>
    <row r="1" spans="1:11" ht="13.5" customHeight="1" x14ac:dyDescent="0.3">
      <c r="A1" s="147" t="str">
        <f>muni&amp;" - "&amp; TableA20</f>
        <v>KZN225 Msunduzi - Supporting Table SA20 Reconciliation of transfers, grant receipts and unspent funds</v>
      </c>
      <c r="B1" s="147"/>
      <c r="C1" s="147"/>
      <c r="D1" s="147"/>
      <c r="E1" s="147"/>
      <c r="F1" s="147"/>
      <c r="G1" s="147"/>
      <c r="H1" s="147"/>
      <c r="I1" s="147"/>
      <c r="J1" s="147"/>
      <c r="K1" s="147"/>
    </row>
    <row r="2" spans="1:11" ht="28.5" customHeight="1" x14ac:dyDescent="0.25">
      <c r="A2" s="985" t="str">
        <f>desc</f>
        <v>Description</v>
      </c>
      <c r="B2" s="419" t="str">
        <f>head27</f>
        <v>Ref</v>
      </c>
      <c r="C2" s="150" t="str">
        <f>head1b</f>
        <v>2009/10</v>
      </c>
      <c r="D2" s="756" t="str">
        <f>head1A</f>
        <v>2010/11</v>
      </c>
      <c r="E2" s="146" t="str">
        <f>Head1</f>
        <v>2011/12</v>
      </c>
      <c r="F2" s="2677" t="str">
        <f>Head2</f>
        <v>Current Year 2012/13</v>
      </c>
      <c r="G2" s="2678"/>
      <c r="H2" s="2682"/>
      <c r="I2" s="2674" t="str">
        <f>Head3</f>
        <v>2013/14 Medium Term Revenue &amp; Expenditure Framework</v>
      </c>
      <c r="J2" s="2675"/>
      <c r="K2" s="2676"/>
    </row>
    <row r="3" spans="1:11" ht="21" x14ac:dyDescent="0.25">
      <c r="A3" s="180" t="s">
        <v>665</v>
      </c>
      <c r="B3" s="990"/>
      <c r="C3" s="390" t="str">
        <f>Head5</f>
        <v>Audited Outcome</v>
      </c>
      <c r="D3" s="999" t="str">
        <f>Head5</f>
        <v>Audited Outcome</v>
      </c>
      <c r="E3" s="391" t="str">
        <f>Head5</f>
        <v>Audited Outcome</v>
      </c>
      <c r="F3" s="299" t="str">
        <f>Head6</f>
        <v>Original Budget</v>
      </c>
      <c r="G3" s="390" t="str">
        <f>Head7</f>
        <v>Adjusted Budget</v>
      </c>
      <c r="H3" s="391" t="str">
        <f>Head8</f>
        <v>Full Year Forecast</v>
      </c>
      <c r="I3" s="299" t="str">
        <f>Head9</f>
        <v>Budget Year 2013/14</v>
      </c>
      <c r="J3" s="390" t="str">
        <f>Head10</f>
        <v>Budget Year +1 2014/15</v>
      </c>
      <c r="K3" s="391" t="str">
        <f>Head11</f>
        <v>Budget Year +2 2015/16</v>
      </c>
    </row>
    <row r="4" spans="1:11" ht="11.25" customHeight="1" x14ac:dyDescent="0.25">
      <c r="A4" s="249" t="s">
        <v>309</v>
      </c>
      <c r="B4" s="182" t="s">
        <v>517</v>
      </c>
      <c r="C4" s="751"/>
      <c r="D4" s="751"/>
      <c r="E4" s="752"/>
      <c r="F4" s="753"/>
      <c r="G4" s="751"/>
      <c r="H4" s="754"/>
      <c r="I4" s="755"/>
      <c r="J4" s="751"/>
      <c r="K4" s="752"/>
    </row>
    <row r="5" spans="1:11" ht="11.25" customHeight="1" x14ac:dyDescent="0.25">
      <c r="A5" s="373" t="str">
        <f>'SA18'!A7</f>
        <v>National Government:</v>
      </c>
      <c r="B5" s="182"/>
      <c r="C5" s="751"/>
      <c r="D5" s="751"/>
      <c r="E5" s="752"/>
      <c r="F5" s="753"/>
      <c r="G5" s="751"/>
      <c r="H5" s="754"/>
      <c r="I5" s="755"/>
      <c r="J5" s="751"/>
      <c r="K5" s="752"/>
    </row>
    <row r="6" spans="1:11" ht="11.25" customHeight="1" x14ac:dyDescent="0.25">
      <c r="A6" s="368" t="s">
        <v>1221</v>
      </c>
      <c r="B6" s="182"/>
      <c r="C6" s="1933">
        <v>66011076.810000002</v>
      </c>
      <c r="D6" s="1934"/>
      <c r="E6" s="1934"/>
      <c r="F6" s="1616"/>
      <c r="G6" s="1616"/>
      <c r="H6" s="1616"/>
      <c r="I6" s="1933"/>
      <c r="J6" s="1937"/>
      <c r="K6" s="1937"/>
    </row>
    <row r="7" spans="1:11" ht="11.25" customHeight="1" x14ac:dyDescent="0.25">
      <c r="A7" s="368" t="s">
        <v>1222</v>
      </c>
      <c r="B7" s="182"/>
      <c r="C7" s="1933">
        <v>203378250</v>
      </c>
      <c r="D7" s="1934">
        <v>267375455.37</v>
      </c>
      <c r="E7" s="1636"/>
      <c r="F7" s="1616">
        <v>342704000</v>
      </c>
      <c r="G7" s="1616">
        <v>342704000</v>
      </c>
      <c r="H7" s="1616">
        <v>342704000</v>
      </c>
      <c r="I7" s="1933">
        <v>366152000</v>
      </c>
      <c r="J7" s="1937">
        <v>393959000</v>
      </c>
      <c r="K7" s="1937">
        <v>0</v>
      </c>
    </row>
    <row r="8" spans="1:11" ht="11.25" customHeight="1" x14ac:dyDescent="0.25">
      <c r="A8" s="786" t="s">
        <v>1220</v>
      </c>
      <c r="B8" s="182"/>
      <c r="C8" s="787">
        <f>C6+C7-C9</f>
        <v>266861000</v>
      </c>
      <c r="D8" s="788">
        <f t="shared" ref="D8:K8" si="0">D6+D7-D9</f>
        <v>267375455.37</v>
      </c>
      <c r="E8" s="789">
        <f t="shared" si="0"/>
        <v>0</v>
      </c>
      <c r="F8" s="790">
        <f t="shared" si="0"/>
        <v>342704000</v>
      </c>
      <c r="G8" s="788">
        <f t="shared" si="0"/>
        <v>342704000</v>
      </c>
      <c r="H8" s="791">
        <f t="shared" si="0"/>
        <v>342704000</v>
      </c>
      <c r="I8" s="792">
        <f t="shared" si="0"/>
        <v>366152000</v>
      </c>
      <c r="J8" s="788">
        <f t="shared" si="0"/>
        <v>393959000</v>
      </c>
      <c r="K8" s="789">
        <f t="shared" si="0"/>
        <v>0</v>
      </c>
    </row>
    <row r="9" spans="1:11" ht="11.25" customHeight="1" x14ac:dyDescent="0.25">
      <c r="A9" s="368" t="s">
        <v>466</v>
      </c>
      <c r="B9" s="182"/>
      <c r="C9" s="1933">
        <v>2528326.8100000024</v>
      </c>
      <c r="D9" s="1934"/>
      <c r="E9" s="1934"/>
      <c r="F9" s="1935"/>
      <c r="G9" s="1933"/>
      <c r="H9" s="1934"/>
      <c r="I9" s="1936"/>
      <c r="J9" s="1933"/>
      <c r="K9" s="1937"/>
    </row>
    <row r="10" spans="1:11" ht="11.25" customHeight="1" x14ac:dyDescent="0.25">
      <c r="A10" s="770" t="s">
        <v>1024</v>
      </c>
      <c r="B10" s="182"/>
      <c r="C10" s="793"/>
      <c r="D10" s="793"/>
      <c r="E10" s="754"/>
      <c r="F10" s="753"/>
      <c r="G10" s="751"/>
      <c r="H10" s="754"/>
      <c r="I10" s="755"/>
      <c r="J10" s="751"/>
      <c r="K10" s="752"/>
    </row>
    <row r="11" spans="1:11" ht="11.25" customHeight="1" x14ac:dyDescent="0.25">
      <c r="A11" s="368" t="s">
        <v>1221</v>
      </c>
      <c r="B11" s="182"/>
      <c r="C11" s="1933">
        <v>4647355.9200000018</v>
      </c>
      <c r="D11" s="1934"/>
      <c r="E11" s="1934"/>
      <c r="F11" s="1616"/>
      <c r="G11" s="1616"/>
      <c r="H11" s="1616"/>
      <c r="I11" s="1933"/>
      <c r="J11" s="1937"/>
      <c r="K11" s="1937"/>
    </row>
    <row r="12" spans="1:11" ht="11.25" customHeight="1" x14ac:dyDescent="0.25">
      <c r="A12" s="794" t="str">
        <f>A7</f>
        <v>Current year receipts</v>
      </c>
      <c r="B12" s="182"/>
      <c r="C12" s="1933">
        <v>10547915</v>
      </c>
      <c r="D12" s="1934">
        <v>33466819.009999998</v>
      </c>
      <c r="E12" s="1934"/>
      <c r="F12" s="1616">
        <v>22500000</v>
      </c>
      <c r="G12" s="1616">
        <v>22500000</v>
      </c>
      <c r="H12" s="1616">
        <v>22500000</v>
      </c>
      <c r="I12" s="1933">
        <v>47573000</v>
      </c>
      <c r="J12" s="1937">
        <v>48099000</v>
      </c>
      <c r="K12" s="1937"/>
    </row>
    <row r="13" spans="1:11" ht="11.25" customHeight="1" x14ac:dyDescent="0.25">
      <c r="A13" s="796" t="str">
        <f>A8</f>
        <v>Conditions met - transferred to revenue</v>
      </c>
      <c r="B13" s="182"/>
      <c r="C13" s="787">
        <f t="shared" ref="C13:K13" si="1">C11+C12-C14</f>
        <v>15195270.920000002</v>
      </c>
      <c r="D13" s="788">
        <f t="shared" si="1"/>
        <v>33466819.009999998</v>
      </c>
      <c r="E13" s="789">
        <f t="shared" si="1"/>
        <v>0</v>
      </c>
      <c r="F13" s="790">
        <f t="shared" si="1"/>
        <v>22500000</v>
      </c>
      <c r="G13" s="788">
        <f t="shared" si="1"/>
        <v>22500000</v>
      </c>
      <c r="H13" s="791">
        <f t="shared" si="1"/>
        <v>22500000</v>
      </c>
      <c r="I13" s="792">
        <f t="shared" si="1"/>
        <v>47573000</v>
      </c>
      <c r="J13" s="788">
        <f t="shared" si="1"/>
        <v>48099000</v>
      </c>
      <c r="K13" s="789">
        <f t="shared" si="1"/>
        <v>0</v>
      </c>
    </row>
    <row r="14" spans="1:11" ht="11.25" customHeight="1" x14ac:dyDescent="0.25">
      <c r="A14" s="794" t="str">
        <f>A9</f>
        <v>Conditions still to be met - transferred to liabilities</v>
      </c>
      <c r="B14" s="182"/>
      <c r="C14" s="1933"/>
      <c r="D14" s="1933"/>
      <c r="E14" s="1934"/>
      <c r="F14" s="1935"/>
      <c r="G14" s="1933"/>
      <c r="H14" s="1934"/>
      <c r="I14" s="1936"/>
      <c r="J14" s="1933"/>
      <c r="K14" s="1937"/>
    </row>
    <row r="15" spans="1:11" ht="11.25" customHeight="1" x14ac:dyDescent="0.25">
      <c r="A15" s="770" t="s">
        <v>1060</v>
      </c>
      <c r="B15" s="182"/>
      <c r="C15" s="785"/>
      <c r="D15" s="785"/>
      <c r="E15" s="795"/>
      <c r="F15" s="782"/>
      <c r="G15" s="780"/>
      <c r="H15" s="781"/>
      <c r="I15" s="783"/>
      <c r="J15" s="780"/>
      <c r="K15" s="784"/>
    </row>
    <row r="16" spans="1:11" ht="11.25" customHeight="1" x14ac:dyDescent="0.25">
      <c r="A16" s="368" t="str">
        <f>A11</f>
        <v>Balance unspent at beginning of the year</v>
      </c>
      <c r="B16" s="182"/>
      <c r="C16" s="1933"/>
      <c r="D16" s="1933"/>
      <c r="E16" s="1934"/>
      <c r="F16" s="1935"/>
      <c r="G16" s="1933"/>
      <c r="H16" s="1934"/>
      <c r="I16" s="1936"/>
      <c r="J16" s="1933"/>
      <c r="K16" s="1937"/>
    </row>
    <row r="17" spans="1:11" ht="11.25" customHeight="1" x14ac:dyDescent="0.25">
      <c r="A17" s="794" t="str">
        <f>A12</f>
        <v>Current year receipts</v>
      </c>
      <c r="B17" s="182"/>
      <c r="C17" s="1933"/>
      <c r="D17" s="1933"/>
      <c r="E17" s="1934"/>
      <c r="F17" s="1935"/>
      <c r="G17" s="1933"/>
      <c r="H17" s="1934"/>
      <c r="I17" s="1936"/>
      <c r="J17" s="1933"/>
      <c r="K17" s="1937"/>
    </row>
    <row r="18" spans="1:11" ht="11.25" customHeight="1" x14ac:dyDescent="0.25">
      <c r="A18" s="796" t="str">
        <f>A13</f>
        <v>Conditions met - transferred to revenue</v>
      </c>
      <c r="B18" s="182"/>
      <c r="C18" s="787">
        <f t="shared" ref="C18:K18" si="2">C16+C17-C19</f>
        <v>0</v>
      </c>
      <c r="D18" s="788">
        <f t="shared" si="2"/>
        <v>0</v>
      </c>
      <c r="E18" s="789">
        <f t="shared" si="2"/>
        <v>0</v>
      </c>
      <c r="F18" s="790">
        <f t="shared" si="2"/>
        <v>0</v>
      </c>
      <c r="G18" s="788">
        <f t="shared" si="2"/>
        <v>0</v>
      </c>
      <c r="H18" s="791">
        <f t="shared" si="2"/>
        <v>0</v>
      </c>
      <c r="I18" s="792">
        <f t="shared" si="2"/>
        <v>0</v>
      </c>
      <c r="J18" s="788">
        <f t="shared" si="2"/>
        <v>0</v>
      </c>
      <c r="K18" s="789">
        <f t="shared" si="2"/>
        <v>0</v>
      </c>
    </row>
    <row r="19" spans="1:11" ht="11.25" customHeight="1" x14ac:dyDescent="0.25">
      <c r="A19" s="794" t="str">
        <f>A14</f>
        <v>Conditions still to be met - transferred to liabilities</v>
      </c>
      <c r="B19" s="182"/>
      <c r="C19" s="1933"/>
      <c r="D19" s="1933"/>
      <c r="E19" s="1934"/>
      <c r="F19" s="1935"/>
      <c r="G19" s="1933"/>
      <c r="H19" s="1934"/>
      <c r="I19" s="1936"/>
      <c r="J19" s="1933"/>
      <c r="K19" s="1937"/>
    </row>
    <row r="20" spans="1:11" ht="11.25" customHeight="1" x14ac:dyDescent="0.25">
      <c r="A20" s="770" t="s">
        <v>587</v>
      </c>
      <c r="B20" s="182"/>
      <c r="C20" s="785"/>
      <c r="D20" s="785"/>
      <c r="E20" s="795"/>
      <c r="F20" s="782"/>
      <c r="G20" s="780"/>
      <c r="H20" s="781"/>
      <c r="I20" s="783"/>
      <c r="J20" s="780"/>
      <c r="K20" s="784"/>
    </row>
    <row r="21" spans="1:11" ht="11.25" customHeight="1" x14ac:dyDescent="0.25">
      <c r="A21" s="794" t="str">
        <f>A11</f>
        <v>Balance unspent at beginning of the year</v>
      </c>
      <c r="B21" s="182"/>
      <c r="C21" s="1933">
        <v>3483000</v>
      </c>
      <c r="D21" s="1934"/>
      <c r="E21" s="1934"/>
      <c r="F21" s="1935"/>
      <c r="G21" s="1933"/>
      <c r="H21" s="1934"/>
      <c r="I21" s="1936"/>
      <c r="J21" s="1933"/>
      <c r="K21" s="1937"/>
    </row>
    <row r="22" spans="1:11" ht="11.25" customHeight="1" x14ac:dyDescent="0.25">
      <c r="A22" s="794" t="str">
        <f>A12</f>
        <v>Current year receipts</v>
      </c>
      <c r="B22" s="182"/>
      <c r="C22" s="1933"/>
      <c r="D22" s="1934"/>
      <c r="E22" s="1934"/>
      <c r="F22" s="1935"/>
      <c r="G22" s="1933"/>
      <c r="H22" s="1934"/>
      <c r="I22" s="1936"/>
      <c r="J22" s="1933"/>
      <c r="K22" s="1937"/>
    </row>
    <row r="23" spans="1:11" ht="11.25" customHeight="1" x14ac:dyDescent="0.25">
      <c r="A23" s="796" t="str">
        <f>A13</f>
        <v>Conditions met - transferred to revenue</v>
      </c>
      <c r="B23" s="182"/>
      <c r="C23" s="787">
        <f t="shared" ref="C23:K23" si="3">C21+C22-C24</f>
        <v>0</v>
      </c>
      <c r="D23" s="788">
        <f t="shared" si="3"/>
        <v>0</v>
      </c>
      <c r="E23" s="789">
        <f t="shared" si="3"/>
        <v>0</v>
      </c>
      <c r="F23" s="790">
        <f t="shared" si="3"/>
        <v>0</v>
      </c>
      <c r="G23" s="788">
        <f t="shared" si="3"/>
        <v>0</v>
      </c>
      <c r="H23" s="791">
        <f t="shared" si="3"/>
        <v>0</v>
      </c>
      <c r="I23" s="792">
        <f t="shared" si="3"/>
        <v>0</v>
      </c>
      <c r="J23" s="788">
        <f t="shared" si="3"/>
        <v>0</v>
      </c>
      <c r="K23" s="789">
        <f t="shared" si="3"/>
        <v>0</v>
      </c>
    </row>
    <row r="24" spans="1:11" ht="11.25" customHeight="1" x14ac:dyDescent="0.25">
      <c r="A24" s="794" t="str">
        <f>A14</f>
        <v>Conditions still to be met - transferred to liabilities</v>
      </c>
      <c r="B24" s="182"/>
      <c r="C24" s="1933">
        <v>3483000</v>
      </c>
      <c r="D24" s="1937"/>
      <c r="E24" s="1937"/>
      <c r="F24" s="1935"/>
      <c r="G24" s="1933"/>
      <c r="H24" s="1934"/>
      <c r="I24" s="1936"/>
      <c r="J24" s="1933"/>
      <c r="K24" s="1937"/>
    </row>
    <row r="25" spans="1:11" ht="11.25" customHeight="1" x14ac:dyDescent="0.25">
      <c r="A25" s="797" t="s">
        <v>354</v>
      </c>
      <c r="B25" s="798"/>
      <c r="C25" s="788">
        <f t="shared" ref="C25:K26" si="4">C8+C13+C18+C23</f>
        <v>282056270.92000002</v>
      </c>
      <c r="D25" s="788">
        <f t="shared" si="4"/>
        <v>300842274.38</v>
      </c>
      <c r="E25" s="789">
        <f t="shared" si="4"/>
        <v>0</v>
      </c>
      <c r="F25" s="790">
        <f t="shared" si="4"/>
        <v>365204000</v>
      </c>
      <c r="G25" s="788">
        <f t="shared" si="4"/>
        <v>365204000</v>
      </c>
      <c r="H25" s="791">
        <f t="shared" si="4"/>
        <v>365204000</v>
      </c>
      <c r="I25" s="792">
        <f t="shared" si="4"/>
        <v>413725000</v>
      </c>
      <c r="J25" s="788">
        <f t="shared" si="4"/>
        <v>442058000</v>
      </c>
      <c r="K25" s="789">
        <f t="shared" si="4"/>
        <v>0</v>
      </c>
    </row>
    <row r="26" spans="1:11" ht="11.25" customHeight="1" x14ac:dyDescent="0.25">
      <c r="A26" s="797" t="s">
        <v>355</v>
      </c>
      <c r="B26" s="798">
        <v>2</v>
      </c>
      <c r="C26" s="788">
        <f t="shared" si="4"/>
        <v>6011326.8100000024</v>
      </c>
      <c r="D26" s="788">
        <f t="shared" si="4"/>
        <v>0</v>
      </c>
      <c r="E26" s="789">
        <f t="shared" si="4"/>
        <v>0</v>
      </c>
      <c r="F26" s="790">
        <f t="shared" si="4"/>
        <v>0</v>
      </c>
      <c r="G26" s="788">
        <f t="shared" si="4"/>
        <v>0</v>
      </c>
      <c r="H26" s="791">
        <f t="shared" si="4"/>
        <v>0</v>
      </c>
      <c r="I26" s="792">
        <f t="shared" si="4"/>
        <v>0</v>
      </c>
      <c r="J26" s="788">
        <f t="shared" si="4"/>
        <v>0</v>
      </c>
      <c r="K26" s="789">
        <f t="shared" si="4"/>
        <v>0</v>
      </c>
    </row>
    <row r="27" spans="1:11" ht="5.15" customHeight="1" x14ac:dyDescent="0.25">
      <c r="A27" s="273"/>
      <c r="B27" s="182"/>
      <c r="C27" s="715"/>
      <c r="D27" s="715"/>
      <c r="E27" s="711"/>
      <c r="F27" s="712"/>
      <c r="G27" s="715"/>
      <c r="H27" s="713"/>
      <c r="I27" s="716"/>
      <c r="J27" s="715"/>
      <c r="K27" s="711"/>
    </row>
    <row r="28" spans="1:11" ht="11.25" customHeight="1" x14ac:dyDescent="0.25">
      <c r="A28" s="249" t="s">
        <v>308</v>
      </c>
      <c r="B28" s="182" t="s">
        <v>517</v>
      </c>
      <c r="C28" s="715"/>
      <c r="D28" s="715"/>
      <c r="E28" s="711"/>
      <c r="F28" s="712"/>
      <c r="G28" s="715"/>
      <c r="H28" s="713"/>
      <c r="I28" s="716"/>
      <c r="J28" s="715"/>
      <c r="K28" s="711"/>
    </row>
    <row r="29" spans="1:11" ht="11.25" customHeight="1" x14ac:dyDescent="0.25">
      <c r="A29" s="770" t="str">
        <f>A5</f>
        <v>National Government:</v>
      </c>
      <c r="B29" s="182"/>
      <c r="C29" s="715"/>
      <c r="D29" s="715"/>
      <c r="E29" s="711"/>
      <c r="F29" s="712"/>
      <c r="G29" s="715"/>
      <c r="H29" s="713"/>
      <c r="I29" s="716"/>
      <c r="J29" s="715"/>
      <c r="K29" s="711"/>
    </row>
    <row r="30" spans="1:11" ht="11.25" customHeight="1" x14ac:dyDescent="0.25">
      <c r="A30" s="368" t="s">
        <v>1221</v>
      </c>
      <c r="B30" s="182"/>
      <c r="C30" s="1933">
        <v>5606422.7699999958</v>
      </c>
      <c r="D30" s="1934"/>
      <c r="E30" s="1934"/>
      <c r="F30" s="1616"/>
      <c r="G30" s="1616"/>
      <c r="H30" s="1616"/>
      <c r="I30" s="1933"/>
      <c r="J30" s="1937"/>
      <c r="K30" s="1937"/>
    </row>
    <row r="31" spans="1:11" ht="11.25" customHeight="1" x14ac:dyDescent="0.25">
      <c r="A31" s="368" t="s">
        <v>1222</v>
      </c>
      <c r="B31" s="182"/>
      <c r="C31" s="1908">
        <v>78140750</v>
      </c>
      <c r="D31" s="1911">
        <v>84653882.230000004</v>
      </c>
      <c r="E31" s="1636">
        <v>123053300</v>
      </c>
      <c r="F31" s="1912">
        <v>208599000</v>
      </c>
      <c r="G31" s="1912">
        <v>160485000</v>
      </c>
      <c r="H31" s="1912">
        <v>160485000</v>
      </c>
      <c r="I31" s="1908">
        <v>403158405</v>
      </c>
      <c r="J31" s="1909">
        <v>194271000</v>
      </c>
      <c r="K31" s="1909">
        <v>192390000</v>
      </c>
    </row>
    <row r="32" spans="1:11" ht="11.25" customHeight="1" x14ac:dyDescent="0.25">
      <c r="A32" s="786" t="s">
        <v>1220</v>
      </c>
      <c r="B32" s="182"/>
      <c r="C32" s="787">
        <f t="shared" ref="C32:K32" si="5">C30+C31-C33</f>
        <v>78407682</v>
      </c>
      <c r="D32" s="788">
        <f t="shared" si="5"/>
        <v>84653882.230000004</v>
      </c>
      <c r="E32" s="789">
        <f t="shared" si="5"/>
        <v>123053300</v>
      </c>
      <c r="F32" s="790">
        <f t="shared" si="5"/>
        <v>208599000</v>
      </c>
      <c r="G32" s="788">
        <f t="shared" si="5"/>
        <v>160485000</v>
      </c>
      <c r="H32" s="791">
        <f t="shared" si="5"/>
        <v>160485000</v>
      </c>
      <c r="I32" s="792">
        <f t="shared" si="5"/>
        <v>403158405</v>
      </c>
      <c r="J32" s="788">
        <f t="shared" si="5"/>
        <v>194271000</v>
      </c>
      <c r="K32" s="789">
        <f t="shared" si="5"/>
        <v>192390000</v>
      </c>
    </row>
    <row r="33" spans="1:15" ht="11.25" customHeight="1" x14ac:dyDescent="0.25">
      <c r="A33" s="368" t="s">
        <v>466</v>
      </c>
      <c r="B33" s="182"/>
      <c r="C33" s="1933">
        <v>5339490.7699999958</v>
      </c>
      <c r="D33" s="1934"/>
      <c r="E33" s="1934"/>
      <c r="F33" s="1935"/>
      <c r="G33" s="1933"/>
      <c r="H33" s="1934"/>
      <c r="I33" s="1936"/>
      <c r="J33" s="1933"/>
      <c r="K33" s="1937"/>
    </row>
    <row r="34" spans="1:15" ht="11.25" customHeight="1" x14ac:dyDescent="0.25">
      <c r="A34" s="770" t="s">
        <v>1024</v>
      </c>
      <c r="B34" s="182"/>
      <c r="C34" s="793"/>
      <c r="D34" s="793"/>
      <c r="E34" s="754"/>
      <c r="F34" s="753"/>
      <c r="G34" s="751"/>
      <c r="H34" s="754"/>
      <c r="I34" s="755"/>
      <c r="J34" s="751"/>
      <c r="K34" s="752"/>
    </row>
    <row r="35" spans="1:15" ht="11.25" customHeight="1" x14ac:dyDescent="0.25">
      <c r="A35" s="368" t="s">
        <v>1221</v>
      </c>
      <c r="B35" s="182"/>
      <c r="C35" s="1933"/>
      <c r="D35" s="1933"/>
      <c r="E35" s="1636"/>
      <c r="F35" s="1616"/>
      <c r="G35" s="1616"/>
      <c r="H35" s="1616"/>
      <c r="I35" s="1933"/>
      <c r="J35" s="1937"/>
      <c r="K35" s="1937"/>
    </row>
    <row r="36" spans="1:15" ht="11.25" customHeight="1" x14ac:dyDescent="0.25">
      <c r="A36" s="794" t="str">
        <f>A31</f>
        <v>Current year receipts</v>
      </c>
      <c r="B36" s="182"/>
      <c r="C36" s="1933"/>
      <c r="D36" s="1908"/>
      <c r="E36" s="1636">
        <f>25480179+140350</f>
        <v>25620529</v>
      </c>
      <c r="F36" s="1616">
        <v>21415000</v>
      </c>
      <c r="G36" s="1616">
        <v>56233734</v>
      </c>
      <c r="H36" s="1616">
        <v>56233734</v>
      </c>
      <c r="I36" s="1908">
        <v>12500000</v>
      </c>
      <c r="J36" s="1909">
        <v>0</v>
      </c>
      <c r="K36" s="1909"/>
    </row>
    <row r="37" spans="1:15" ht="11.25" customHeight="1" x14ac:dyDescent="0.25">
      <c r="A37" s="796" t="str">
        <f>A32</f>
        <v>Conditions met - transferred to revenue</v>
      </c>
      <c r="B37" s="182"/>
      <c r="C37" s="787">
        <f t="shared" ref="C37:K37" si="6">C35+C36-C38</f>
        <v>0</v>
      </c>
      <c r="D37" s="788">
        <f t="shared" si="6"/>
        <v>0</v>
      </c>
      <c r="E37" s="789">
        <f t="shared" si="6"/>
        <v>25620529</v>
      </c>
      <c r="F37" s="790">
        <f t="shared" si="6"/>
        <v>21415000</v>
      </c>
      <c r="G37" s="788">
        <f t="shared" si="6"/>
        <v>56233734</v>
      </c>
      <c r="H37" s="791">
        <f t="shared" si="6"/>
        <v>56233734</v>
      </c>
      <c r="I37" s="792">
        <f t="shared" si="6"/>
        <v>12500000</v>
      </c>
      <c r="J37" s="788">
        <f t="shared" si="6"/>
        <v>0</v>
      </c>
      <c r="K37" s="789">
        <f t="shared" si="6"/>
        <v>0</v>
      </c>
      <c r="O37" s="370"/>
    </row>
    <row r="38" spans="1:15" ht="11.25" customHeight="1" x14ac:dyDescent="0.25">
      <c r="A38" s="794" t="str">
        <f>A33</f>
        <v>Conditions still to be met - transferred to liabilities</v>
      </c>
      <c r="B38" s="182"/>
      <c r="C38" s="1933"/>
      <c r="D38" s="1933"/>
      <c r="E38" s="1934"/>
      <c r="F38" s="1935"/>
      <c r="G38" s="1933"/>
      <c r="H38" s="1934"/>
      <c r="I38" s="1936"/>
      <c r="J38" s="1933"/>
      <c r="K38" s="1937"/>
    </row>
    <row r="39" spans="1:15" ht="11.25" customHeight="1" x14ac:dyDescent="0.25">
      <c r="A39" s="770" t="s">
        <v>1060</v>
      </c>
      <c r="B39" s="182"/>
      <c r="C39" s="785"/>
      <c r="D39" s="785"/>
      <c r="E39" s="795"/>
      <c r="F39" s="782"/>
      <c r="G39" s="780"/>
      <c r="H39" s="781"/>
      <c r="I39" s="783"/>
      <c r="J39" s="780"/>
      <c r="K39" s="784"/>
    </row>
    <row r="40" spans="1:15" ht="11.25" customHeight="1" x14ac:dyDescent="0.25">
      <c r="A40" s="368" t="str">
        <f>A35</f>
        <v>Balance unspent at beginning of the year</v>
      </c>
      <c r="B40" s="182"/>
      <c r="C40" s="1933"/>
      <c r="D40" s="1933"/>
      <c r="E40" s="1934"/>
      <c r="F40" s="1935"/>
      <c r="G40" s="1933"/>
      <c r="H40" s="1934"/>
      <c r="I40" s="1936"/>
      <c r="J40" s="1933"/>
      <c r="K40" s="1937"/>
    </row>
    <row r="41" spans="1:15" ht="11.25" customHeight="1" x14ac:dyDescent="0.25">
      <c r="A41" s="794" t="str">
        <f>A36</f>
        <v>Current year receipts</v>
      </c>
      <c r="B41" s="182"/>
      <c r="C41" s="1933"/>
      <c r="D41" s="1933"/>
      <c r="E41" s="1934"/>
      <c r="F41" s="1935"/>
      <c r="G41" s="1933">
        <v>0</v>
      </c>
      <c r="H41" s="1934">
        <v>0</v>
      </c>
      <c r="I41" s="1936"/>
      <c r="J41" s="1933"/>
      <c r="K41" s="1937"/>
    </row>
    <row r="42" spans="1:15" ht="11.25" customHeight="1" x14ac:dyDescent="0.25">
      <c r="A42" s="796" t="str">
        <f>A37</f>
        <v>Conditions met - transferred to revenue</v>
      </c>
      <c r="B42" s="182"/>
      <c r="C42" s="787">
        <f t="shared" ref="C42:K42" si="7">C40+C41-C43</f>
        <v>0</v>
      </c>
      <c r="D42" s="788">
        <f t="shared" si="7"/>
        <v>0</v>
      </c>
      <c r="E42" s="789">
        <f t="shared" si="7"/>
        <v>0</v>
      </c>
      <c r="F42" s="790">
        <f t="shared" si="7"/>
        <v>0</v>
      </c>
      <c r="G42" s="788">
        <f t="shared" si="7"/>
        <v>0</v>
      </c>
      <c r="H42" s="791">
        <f t="shared" si="7"/>
        <v>0</v>
      </c>
      <c r="I42" s="792">
        <f t="shared" si="7"/>
        <v>0</v>
      </c>
      <c r="J42" s="788">
        <f t="shared" si="7"/>
        <v>0</v>
      </c>
      <c r="K42" s="789">
        <f t="shared" si="7"/>
        <v>0</v>
      </c>
    </row>
    <row r="43" spans="1:15" ht="11.25" customHeight="1" x14ac:dyDescent="0.25">
      <c r="A43" s="794" t="str">
        <f>A38</f>
        <v>Conditions still to be met - transferred to liabilities</v>
      </c>
      <c r="B43" s="182"/>
      <c r="C43" s="1933"/>
      <c r="D43" s="1933"/>
      <c r="E43" s="1934"/>
      <c r="F43" s="1935"/>
      <c r="G43" s="1933"/>
      <c r="H43" s="1934"/>
      <c r="I43" s="1936"/>
      <c r="J43" s="1933"/>
      <c r="K43" s="1937"/>
    </row>
    <row r="44" spans="1:15" ht="11.25" customHeight="1" x14ac:dyDescent="0.25">
      <c r="A44" s="770" t="s">
        <v>587</v>
      </c>
      <c r="B44" s="182"/>
      <c r="C44" s="785"/>
      <c r="D44" s="785"/>
      <c r="E44" s="795"/>
      <c r="F44" s="782"/>
      <c r="G44" s="780"/>
      <c r="H44" s="781"/>
      <c r="I44" s="783"/>
      <c r="J44" s="780"/>
      <c r="K44" s="784"/>
    </row>
    <row r="45" spans="1:15" ht="11.25" customHeight="1" x14ac:dyDescent="0.25">
      <c r="A45" s="794" t="str">
        <f>A35</f>
        <v>Balance unspent at beginning of the year</v>
      </c>
      <c r="B45" s="182"/>
      <c r="C45" s="1933"/>
      <c r="D45" s="1933"/>
      <c r="E45" s="1934"/>
      <c r="F45" s="1935"/>
      <c r="G45" s="1933"/>
      <c r="H45" s="1934"/>
      <c r="I45" s="1936"/>
      <c r="J45" s="1933"/>
      <c r="K45" s="1937"/>
    </row>
    <row r="46" spans="1:15" ht="11.25" customHeight="1" x14ac:dyDescent="0.25">
      <c r="A46" s="794" t="str">
        <f>A36</f>
        <v>Current year receipts</v>
      </c>
      <c r="B46" s="182"/>
      <c r="C46" s="1933"/>
      <c r="D46" s="1933"/>
      <c r="E46" s="1934"/>
      <c r="F46" s="1935"/>
      <c r="G46" s="1933"/>
      <c r="H46" s="1934"/>
      <c r="I46" s="1936"/>
      <c r="J46" s="1933"/>
      <c r="K46" s="1937"/>
    </row>
    <row r="47" spans="1:15" ht="11.25" customHeight="1" x14ac:dyDescent="0.25">
      <c r="A47" s="796" t="str">
        <f>A37</f>
        <v>Conditions met - transferred to revenue</v>
      </c>
      <c r="B47" s="182"/>
      <c r="C47" s="787">
        <f t="shared" ref="C47:K47" si="8">C45+C46-C48</f>
        <v>0</v>
      </c>
      <c r="D47" s="788">
        <f t="shared" si="8"/>
        <v>0</v>
      </c>
      <c r="E47" s="789">
        <f t="shared" si="8"/>
        <v>0</v>
      </c>
      <c r="F47" s="790">
        <f t="shared" si="8"/>
        <v>0</v>
      </c>
      <c r="G47" s="788">
        <f t="shared" si="8"/>
        <v>0</v>
      </c>
      <c r="H47" s="791">
        <f t="shared" si="8"/>
        <v>0</v>
      </c>
      <c r="I47" s="792">
        <f t="shared" si="8"/>
        <v>0</v>
      </c>
      <c r="J47" s="788">
        <f t="shared" si="8"/>
        <v>0</v>
      </c>
      <c r="K47" s="789">
        <f t="shared" si="8"/>
        <v>0</v>
      </c>
    </row>
    <row r="48" spans="1:15" ht="11.25" customHeight="1" x14ac:dyDescent="0.25">
      <c r="A48" s="794" t="str">
        <f>A38</f>
        <v>Conditions still to be met - transferred to liabilities</v>
      </c>
      <c r="B48" s="182"/>
      <c r="C48" s="1933"/>
      <c r="D48" s="1933"/>
      <c r="E48" s="1937"/>
      <c r="F48" s="1935"/>
      <c r="G48" s="1933"/>
      <c r="H48" s="1934"/>
      <c r="I48" s="1936"/>
      <c r="J48" s="1933"/>
      <c r="K48" s="1937"/>
    </row>
    <row r="49" spans="1:11" x14ac:dyDescent="0.25">
      <c r="A49" s="797" t="s">
        <v>625</v>
      </c>
      <c r="B49" s="798"/>
      <c r="C49" s="799">
        <f t="shared" ref="C49:K50" si="9">C32+C37+C42+C47</f>
        <v>78407682</v>
      </c>
      <c r="D49" s="799">
        <f t="shared" si="9"/>
        <v>84653882.230000004</v>
      </c>
      <c r="E49" s="800">
        <f t="shared" si="9"/>
        <v>148673829</v>
      </c>
      <c r="F49" s="801">
        <f t="shared" si="9"/>
        <v>230014000</v>
      </c>
      <c r="G49" s="799">
        <f t="shared" si="9"/>
        <v>216718734</v>
      </c>
      <c r="H49" s="802">
        <f t="shared" si="9"/>
        <v>216718734</v>
      </c>
      <c r="I49" s="803">
        <f t="shared" si="9"/>
        <v>415658405</v>
      </c>
      <c r="J49" s="799">
        <f t="shared" si="9"/>
        <v>194271000</v>
      </c>
      <c r="K49" s="800">
        <f t="shared" si="9"/>
        <v>192390000</v>
      </c>
    </row>
    <row r="50" spans="1:11" x14ac:dyDescent="0.25">
      <c r="A50" s="797" t="s">
        <v>356</v>
      </c>
      <c r="B50" s="798">
        <v>2</v>
      </c>
      <c r="C50" s="799">
        <f t="shared" si="9"/>
        <v>5339490.7699999958</v>
      </c>
      <c r="D50" s="799">
        <f t="shared" si="9"/>
        <v>0</v>
      </c>
      <c r="E50" s="800">
        <f t="shared" si="9"/>
        <v>0</v>
      </c>
      <c r="F50" s="801">
        <f t="shared" si="9"/>
        <v>0</v>
      </c>
      <c r="G50" s="799">
        <f t="shared" si="9"/>
        <v>0</v>
      </c>
      <c r="H50" s="802">
        <f t="shared" si="9"/>
        <v>0</v>
      </c>
      <c r="I50" s="803">
        <f t="shared" si="9"/>
        <v>0</v>
      </c>
      <c r="J50" s="799">
        <f t="shared" si="9"/>
        <v>0</v>
      </c>
      <c r="K50" s="800">
        <f t="shared" si="9"/>
        <v>0</v>
      </c>
    </row>
    <row r="51" spans="1:11" ht="5.15" customHeight="1" x14ac:dyDescent="0.25">
      <c r="A51" s="804"/>
      <c r="B51" s="182"/>
      <c r="C51" s="785"/>
      <c r="D51" s="785"/>
      <c r="E51" s="795"/>
      <c r="F51" s="782"/>
      <c r="G51" s="780"/>
      <c r="H51" s="781"/>
      <c r="I51" s="783"/>
      <c r="J51" s="780"/>
      <c r="K51" s="784"/>
    </row>
    <row r="52" spans="1:11" ht="11.25" customHeight="1" x14ac:dyDescent="0.25">
      <c r="A52" s="1100" t="s">
        <v>290</v>
      </c>
      <c r="B52" s="1101"/>
      <c r="C52" s="1102">
        <f t="shared" ref="C52:K52" si="10">C25+C49</f>
        <v>360463952.92000002</v>
      </c>
      <c r="D52" s="1102">
        <f t="shared" si="10"/>
        <v>385496156.61000001</v>
      </c>
      <c r="E52" s="1103">
        <f t="shared" si="10"/>
        <v>148673829</v>
      </c>
      <c r="F52" s="1104">
        <f t="shared" si="10"/>
        <v>595218000</v>
      </c>
      <c r="G52" s="1102">
        <f t="shared" si="10"/>
        <v>581922734</v>
      </c>
      <c r="H52" s="1105">
        <f t="shared" si="10"/>
        <v>581922734</v>
      </c>
      <c r="I52" s="1106">
        <f t="shared" si="10"/>
        <v>829383405</v>
      </c>
      <c r="J52" s="1102">
        <f t="shared" si="10"/>
        <v>636329000</v>
      </c>
      <c r="K52" s="1103">
        <f t="shared" si="10"/>
        <v>192390000</v>
      </c>
    </row>
    <row r="53" spans="1:11" ht="11.25" customHeight="1" x14ac:dyDescent="0.25">
      <c r="A53" s="281" t="s">
        <v>1425</v>
      </c>
      <c r="B53" s="225"/>
      <c r="C53" s="728">
        <f>C26+C50</f>
        <v>11350817.579999998</v>
      </c>
      <c r="D53" s="728">
        <f t="shared" ref="D53:K53" si="11">D26+D50</f>
        <v>0</v>
      </c>
      <c r="E53" s="729">
        <f t="shared" si="11"/>
        <v>0</v>
      </c>
      <c r="F53" s="730">
        <f t="shared" si="11"/>
        <v>0</v>
      </c>
      <c r="G53" s="728">
        <f t="shared" si="11"/>
        <v>0</v>
      </c>
      <c r="H53" s="731">
        <f t="shared" si="11"/>
        <v>0</v>
      </c>
      <c r="I53" s="732">
        <f t="shared" si="11"/>
        <v>0</v>
      </c>
      <c r="J53" s="728">
        <f t="shared" si="11"/>
        <v>0</v>
      </c>
      <c r="K53" s="729">
        <f t="shared" si="11"/>
        <v>0</v>
      </c>
    </row>
    <row r="54" spans="1:11" s="709" customFormat="1" ht="11.25" customHeight="1" x14ac:dyDescent="0.25">
      <c r="A54" s="1232" t="str">
        <f>head27a</f>
        <v>References</v>
      </c>
      <c r="B54" s="1081"/>
      <c r="C54" s="1078"/>
      <c r="D54" s="1078"/>
      <c r="E54" s="1078"/>
      <c r="F54" s="1078"/>
      <c r="G54" s="1078"/>
      <c r="H54" s="1078"/>
      <c r="I54" s="1078"/>
      <c r="J54" s="1078"/>
      <c r="K54" s="1078"/>
    </row>
    <row r="55" spans="1:11" s="709" customFormat="1" ht="11.25" customHeight="1" x14ac:dyDescent="0.25">
      <c r="A55" s="2695" t="s">
        <v>624</v>
      </c>
      <c r="B55" s="2695"/>
      <c r="C55" s="2695"/>
      <c r="D55" s="2695"/>
      <c r="E55" s="2695"/>
      <c r="F55" s="2695"/>
      <c r="G55" s="2695"/>
      <c r="H55" s="2695"/>
      <c r="I55" s="2695"/>
      <c r="J55" s="2695"/>
      <c r="K55" s="2695"/>
    </row>
    <row r="56" spans="1:11" s="709" customFormat="1" ht="11.25" customHeight="1" x14ac:dyDescent="0.25">
      <c r="A56" s="2695" t="s">
        <v>289</v>
      </c>
      <c r="B56" s="2695"/>
      <c r="C56" s="2695"/>
      <c r="D56" s="2695"/>
      <c r="E56" s="2695"/>
      <c r="F56" s="2695"/>
      <c r="G56" s="2695"/>
      <c r="H56" s="2695"/>
      <c r="I56" s="2695"/>
      <c r="J56" s="2695"/>
      <c r="K56" s="2695"/>
    </row>
    <row r="57" spans="1:11" s="709" customFormat="1" ht="11.25" customHeight="1" x14ac:dyDescent="0.25">
      <c r="A57" s="2695" t="s">
        <v>889</v>
      </c>
      <c r="B57" s="2695"/>
      <c r="C57" s="2695"/>
      <c r="D57" s="2695"/>
      <c r="E57" s="2695"/>
      <c r="F57" s="2695"/>
      <c r="G57" s="2695"/>
      <c r="H57" s="2695"/>
      <c r="I57" s="2695"/>
      <c r="J57" s="2695"/>
      <c r="K57" s="2695"/>
    </row>
    <row r="58" spans="1:11" ht="11.25" customHeight="1" x14ac:dyDescent="0.25">
      <c r="A58" s="806"/>
      <c r="B58" s="806"/>
      <c r="C58" s="806"/>
      <c r="D58" s="806"/>
      <c r="E58" s="806"/>
      <c r="F58" s="806"/>
      <c r="G58" s="806"/>
      <c r="H58" s="806"/>
      <c r="I58" s="806"/>
      <c r="J58" s="806"/>
      <c r="K58" s="806"/>
    </row>
    <row r="59" spans="1:11" ht="11.25" customHeight="1" x14ac:dyDescent="0.25">
      <c r="A59" s="437" t="s">
        <v>467</v>
      </c>
      <c r="C59" s="362">
        <f>C25-'A4-FinPerf RE'!C19</f>
        <v>-72976889.079999983</v>
      </c>
      <c r="D59" s="362">
        <f>D25-'A4-FinPerf RE'!D19</f>
        <v>-84654084.620000005</v>
      </c>
      <c r="E59" s="362">
        <f>E25-'A4-FinPerf RE'!E19</f>
        <v>-500668971</v>
      </c>
      <c r="F59" s="362">
        <f>F25-'A4-FinPerf RE'!F19</f>
        <v>0</v>
      </c>
      <c r="G59" s="362">
        <f>G25-'A4-FinPerf RE'!G19</f>
        <v>-57165000</v>
      </c>
      <c r="H59" s="362">
        <f>H25-'A4-FinPerf RE'!H19</f>
        <v>-57165000</v>
      </c>
      <c r="I59" s="362">
        <f>I25-'A4-FinPerf RE'!J19</f>
        <v>-238333595</v>
      </c>
      <c r="J59" s="362">
        <f>J25-'A4-FinPerf RE'!K19</f>
        <v>-147813000</v>
      </c>
      <c r="K59" s="362">
        <f>K25-'A4-FinPerf RE'!L19</f>
        <v>-655040000</v>
      </c>
    </row>
    <row r="60" spans="1:11" ht="11.25" customHeight="1" x14ac:dyDescent="0.25">
      <c r="A60" s="437" t="s">
        <v>468</v>
      </c>
      <c r="C60" s="362">
        <f>C49-'A5-Capex'!C70</f>
        <v>447</v>
      </c>
      <c r="D60" s="362">
        <f>D49-'A5-Capex'!D70</f>
        <v>-230.25999999046326</v>
      </c>
      <c r="E60" s="362">
        <f>E49-'A5-Capex'!E70</f>
        <v>0</v>
      </c>
      <c r="F60" s="362">
        <f>F49-'A5-Capex'!F70</f>
        <v>0</v>
      </c>
      <c r="G60" s="362">
        <f>G49-'A5-Capex'!G70</f>
        <v>0</v>
      </c>
      <c r="H60" s="362">
        <f>H49-'A5-Capex'!H70</f>
        <v>0</v>
      </c>
      <c r="I60" s="362">
        <f>I49-'A5-Capex'!J70</f>
        <v>0</v>
      </c>
      <c r="J60" s="362">
        <f>J49-'A5-Capex'!K70</f>
        <v>0</v>
      </c>
      <c r="K60" s="362">
        <f>K49-'A5-Capex'!L70</f>
        <v>0</v>
      </c>
    </row>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sheet="1" objects="1" scenarios="1"/>
  <mergeCells count="5">
    <mergeCell ref="A57:K57"/>
    <mergeCell ref="F2:H2"/>
    <mergeCell ref="I2:K2"/>
    <mergeCell ref="A55:K55"/>
    <mergeCell ref="A56:K56"/>
  </mergeCells>
  <phoneticPr fontId="2" type="noConversion"/>
  <printOptions horizontalCentered="1"/>
  <pageMargins left="0" right="0" top="0.78740157480314965" bottom="0.59055118110236227" header="0.51181102362204722" footer="0.51181102362204722"/>
  <pageSetup paperSize="9" scale="86"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enableFormatConditionsCalculation="0">
    <tabColor indexed="42"/>
    <pageSetUpPr fitToPage="1"/>
  </sheetPr>
  <dimension ref="A1:P73"/>
  <sheetViews>
    <sheetView showGridLines="0" topLeftCell="A58" zoomScaleNormal="100" workbookViewId="0">
      <selection activeCell="D13" sqref="D13"/>
    </sheetView>
  </sheetViews>
  <sheetFormatPr defaultColWidth="9.1796875" defaultRowHeight="10.5" x14ac:dyDescent="0.25"/>
  <cols>
    <col min="1" max="1" width="35.7265625" style="149" customWidth="1"/>
    <col min="2" max="2" width="3" style="247" customWidth="1"/>
    <col min="3" max="12" width="9.26953125" style="149" customWidth="1"/>
    <col min="13" max="13" width="9.81640625" style="149" customWidth="1"/>
    <col min="14" max="14" width="9.54296875" style="149" customWidth="1"/>
    <col min="15" max="15" width="9.81640625" style="149" customWidth="1"/>
    <col min="16" max="18" width="9.54296875" style="149" customWidth="1"/>
    <col min="19" max="19" width="9.81640625" style="149" customWidth="1"/>
    <col min="20" max="22" width="9.54296875" style="149" customWidth="1"/>
    <col min="23" max="24" width="9.81640625" style="149" customWidth="1"/>
    <col min="25" max="16384" width="9.1796875" style="149"/>
  </cols>
  <sheetData>
    <row r="1" spans="1:12" ht="13.5" customHeight="1" x14ac:dyDescent="0.3">
      <c r="A1" s="147" t="str">
        <f>muni&amp;" - "&amp; TableA21</f>
        <v>KZN225 Msunduzi - Supporting Table SA21 Transfers and grants made by the municipality</v>
      </c>
      <c r="B1" s="147"/>
      <c r="C1" s="147"/>
      <c r="D1" s="147"/>
      <c r="E1" s="147"/>
      <c r="F1" s="147"/>
      <c r="G1" s="147"/>
      <c r="H1" s="147"/>
      <c r="I1" s="147"/>
      <c r="J1" s="147"/>
      <c r="K1" s="147"/>
      <c r="L1" s="147"/>
    </row>
    <row r="2" spans="1:12" ht="28.5" customHeight="1" x14ac:dyDescent="0.25">
      <c r="A2" s="2143" t="str">
        <f>desc</f>
        <v>Description</v>
      </c>
      <c r="B2" s="2144" t="str">
        <f>head27</f>
        <v>Ref</v>
      </c>
      <c r="C2" s="150" t="str">
        <f>head1b</f>
        <v>2009/10</v>
      </c>
      <c r="D2" s="756" t="str">
        <f>head1A</f>
        <v>2010/11</v>
      </c>
      <c r="E2" s="146" t="str">
        <f>Head1</f>
        <v>2011/12</v>
      </c>
      <c r="F2" s="2677" t="str">
        <f>Head2</f>
        <v>Current Year 2012/13</v>
      </c>
      <c r="G2" s="2678"/>
      <c r="H2" s="2678"/>
      <c r="I2" s="2682"/>
      <c r="J2" s="2674" t="str">
        <f>Head3</f>
        <v>2013/14 Medium Term Revenue &amp; Expenditure Framework</v>
      </c>
      <c r="K2" s="2675"/>
      <c r="L2" s="2676"/>
    </row>
    <row r="3" spans="1:12" ht="21" x14ac:dyDescent="0.25">
      <c r="A3" s="180" t="s">
        <v>665</v>
      </c>
      <c r="B3" s="2145"/>
      <c r="C3" s="390" t="str">
        <f>Head5</f>
        <v>Audited Outcome</v>
      </c>
      <c r="D3" s="999" t="str">
        <f>Head5</f>
        <v>Audited Outcome</v>
      </c>
      <c r="E3" s="391" t="str">
        <f>Head5</f>
        <v>Audited Outcome</v>
      </c>
      <c r="F3" s="299" t="str">
        <f>Head6</f>
        <v>Original Budget</v>
      </c>
      <c r="G3" s="390" t="str">
        <f>Head7</f>
        <v>Adjusted Budget</v>
      </c>
      <c r="H3" s="389" t="str">
        <f>Head8</f>
        <v>Full Year Forecast</v>
      </c>
      <c r="I3" s="2222" t="str">
        <f>Head5b</f>
        <v>Pre-audit outcome</v>
      </c>
      <c r="J3" s="389" t="str">
        <f>Head9</f>
        <v>Budget Year 2013/14</v>
      </c>
      <c r="K3" s="390" t="str">
        <f>Head10</f>
        <v>Budget Year +1 2014/15</v>
      </c>
      <c r="L3" s="391" t="str">
        <f>Head11</f>
        <v>Budget Year +2 2015/16</v>
      </c>
    </row>
    <row r="4" spans="1:12" ht="5.25" customHeight="1" x14ac:dyDescent="0.25">
      <c r="A4" s="2207"/>
      <c r="B4" s="2208"/>
      <c r="C4" s="152"/>
      <c r="D4" s="2204"/>
      <c r="E4" s="153"/>
      <c r="F4" s="151"/>
      <c r="G4" s="152"/>
      <c r="H4" s="154"/>
      <c r="I4" s="659"/>
      <c r="J4" s="154"/>
      <c r="K4" s="152"/>
      <c r="L4" s="153"/>
    </row>
    <row r="5" spans="1:12" ht="11.25" customHeight="1" x14ac:dyDescent="0.25">
      <c r="A5" s="249" t="s">
        <v>2038</v>
      </c>
      <c r="B5" s="2146"/>
      <c r="C5" s="203"/>
      <c r="D5" s="203"/>
      <c r="E5" s="204"/>
      <c r="F5" s="205"/>
      <c r="G5" s="203"/>
      <c r="H5" s="2216"/>
      <c r="I5" s="586"/>
      <c r="J5" s="202"/>
      <c r="K5" s="203"/>
      <c r="L5" s="204"/>
    </row>
    <row r="6" spans="1:12" ht="12" customHeight="1" x14ac:dyDescent="0.25">
      <c r="A6" s="1938" t="s">
        <v>1093</v>
      </c>
      <c r="B6" s="2146">
        <v>1</v>
      </c>
      <c r="C6" s="1614"/>
      <c r="D6" s="1614"/>
      <c r="E6" s="1634"/>
      <c r="F6" s="1635"/>
      <c r="G6" s="1614"/>
      <c r="H6" s="1615"/>
      <c r="I6" s="1795"/>
      <c r="J6" s="1636"/>
      <c r="K6" s="1614"/>
      <c r="L6" s="1634"/>
    </row>
    <row r="7" spans="1:12" ht="11.25" customHeight="1" x14ac:dyDescent="0.25">
      <c r="A7" s="1939"/>
      <c r="B7" s="2146"/>
      <c r="C7" s="1614"/>
      <c r="D7" s="1614"/>
      <c r="E7" s="1634"/>
      <c r="F7" s="1635"/>
      <c r="G7" s="1614"/>
      <c r="H7" s="1615"/>
      <c r="I7" s="1795"/>
      <c r="J7" s="1636"/>
      <c r="K7" s="1614"/>
      <c r="L7" s="1634"/>
    </row>
    <row r="8" spans="1:12" ht="11.25" customHeight="1" x14ac:dyDescent="0.25">
      <c r="A8" s="1939"/>
      <c r="B8" s="2146"/>
      <c r="C8" s="1614"/>
      <c r="D8" s="1614"/>
      <c r="E8" s="1634"/>
      <c r="F8" s="1635"/>
      <c r="G8" s="1614"/>
      <c r="H8" s="1615"/>
      <c r="I8" s="1795"/>
      <c r="J8" s="1636"/>
      <c r="K8" s="1614"/>
      <c r="L8" s="1634"/>
    </row>
    <row r="9" spans="1:12" ht="11.25" customHeight="1" x14ac:dyDescent="0.25">
      <c r="A9" s="797" t="s">
        <v>2040</v>
      </c>
      <c r="B9" s="2147"/>
      <c r="C9" s="276">
        <f>SUM(C6:C8)</f>
        <v>0</v>
      </c>
      <c r="D9" s="276">
        <f t="shared" ref="D9:L9" si="0">SUM(D6:D8)</f>
        <v>0</v>
      </c>
      <c r="E9" s="277">
        <f t="shared" si="0"/>
        <v>0</v>
      </c>
      <c r="F9" s="278">
        <f t="shared" si="0"/>
        <v>0</v>
      </c>
      <c r="G9" s="276">
        <f t="shared" si="0"/>
        <v>0</v>
      </c>
      <c r="H9" s="2217">
        <f t="shared" si="0"/>
        <v>0</v>
      </c>
      <c r="I9" s="2223">
        <f t="shared" si="0"/>
        <v>0</v>
      </c>
      <c r="J9" s="275">
        <f t="shared" si="0"/>
        <v>0</v>
      </c>
      <c r="K9" s="276">
        <f t="shared" si="0"/>
        <v>0</v>
      </c>
      <c r="L9" s="277">
        <f t="shared" si="0"/>
        <v>0</v>
      </c>
    </row>
    <row r="10" spans="1:12" ht="6" customHeight="1" x14ac:dyDescent="0.25">
      <c r="A10" s="273"/>
      <c r="B10" s="2146"/>
      <c r="C10" s="203"/>
      <c r="D10" s="203"/>
      <c r="E10" s="204"/>
      <c r="F10" s="205"/>
      <c r="G10" s="203"/>
      <c r="H10" s="2216"/>
      <c r="I10" s="586"/>
      <c r="J10" s="202"/>
      <c r="K10" s="203"/>
      <c r="L10" s="204"/>
    </row>
    <row r="11" spans="1:12" ht="11.25" customHeight="1" x14ac:dyDescent="0.25">
      <c r="A11" s="810" t="s">
        <v>2041</v>
      </c>
      <c r="B11" s="2148"/>
      <c r="C11" s="207"/>
      <c r="D11" s="207"/>
      <c r="E11" s="264"/>
      <c r="F11" s="251"/>
      <c r="G11" s="207"/>
      <c r="H11" s="558"/>
      <c r="I11" s="1069"/>
      <c r="J11" s="210"/>
      <c r="K11" s="207"/>
      <c r="L11" s="264"/>
    </row>
    <row r="12" spans="1:12" ht="11.25" customHeight="1" x14ac:dyDescent="0.25">
      <c r="A12" s="1938" t="s">
        <v>2314</v>
      </c>
      <c r="B12" s="2148">
        <v>2</v>
      </c>
      <c r="C12" s="1614">
        <v>0</v>
      </c>
      <c r="D12" s="1614">
        <v>2947</v>
      </c>
      <c r="E12" s="1634">
        <v>3947368</v>
      </c>
      <c r="F12" s="1635">
        <v>4500000</v>
      </c>
      <c r="G12" s="1635">
        <f>F12</f>
        <v>4500000</v>
      </c>
      <c r="H12" s="1635">
        <f>G12</f>
        <v>4500000</v>
      </c>
      <c r="I12" s="1635">
        <v>4500000</v>
      </c>
      <c r="J12" s="1614">
        <v>4800000</v>
      </c>
      <c r="K12" s="1634">
        <v>5035200</v>
      </c>
      <c r="L12" s="1634">
        <v>5312136</v>
      </c>
    </row>
    <row r="13" spans="1:12" ht="11.25" customHeight="1" x14ac:dyDescent="0.25">
      <c r="A13" s="1913" t="s">
        <v>2369</v>
      </c>
      <c r="B13" s="2148"/>
      <c r="C13" s="1614">
        <v>845477</v>
      </c>
      <c r="D13" s="1614">
        <v>191788</v>
      </c>
      <c r="E13" s="1634">
        <v>196459</v>
      </c>
      <c r="F13" s="1635"/>
      <c r="G13" s="1614"/>
      <c r="H13" s="1615"/>
      <c r="I13" s="1795"/>
      <c r="J13" s="1614">
        <v>227304</v>
      </c>
      <c r="K13" s="1634">
        <v>238670</v>
      </c>
      <c r="L13" s="1634">
        <v>250603</v>
      </c>
    </row>
    <row r="14" spans="1:12" ht="11.25" customHeight="1" x14ac:dyDescent="0.25">
      <c r="A14" s="1913" t="s">
        <v>2460</v>
      </c>
      <c r="B14" s="2148"/>
      <c r="C14" s="1614">
        <f>2000+863160</f>
        <v>865160</v>
      </c>
      <c r="D14" s="1614"/>
      <c r="E14" s="1634"/>
      <c r="F14" s="1635"/>
      <c r="G14" s="1614"/>
      <c r="H14" s="1615"/>
      <c r="I14" s="1795"/>
      <c r="J14" s="1614"/>
      <c r="K14" s="1634"/>
      <c r="L14" s="1634"/>
    </row>
    <row r="15" spans="1:12" ht="11.25" customHeight="1" x14ac:dyDescent="0.25">
      <c r="A15" s="811" t="s">
        <v>2042</v>
      </c>
      <c r="B15" s="2149"/>
      <c r="C15" s="813">
        <f>SUM(C12:C14)</f>
        <v>1710637</v>
      </c>
      <c r="D15" s="813">
        <f t="shared" ref="D15:L15" si="1">SUM(D12:D14)</f>
        <v>194735</v>
      </c>
      <c r="E15" s="814">
        <f t="shared" si="1"/>
        <v>4143827</v>
      </c>
      <c r="F15" s="815">
        <f t="shared" si="1"/>
        <v>4500000</v>
      </c>
      <c r="G15" s="813">
        <f t="shared" si="1"/>
        <v>4500000</v>
      </c>
      <c r="H15" s="2218">
        <f t="shared" si="1"/>
        <v>4500000</v>
      </c>
      <c r="I15" s="2224">
        <f t="shared" si="1"/>
        <v>4500000</v>
      </c>
      <c r="J15" s="816">
        <f t="shared" si="1"/>
        <v>5027304</v>
      </c>
      <c r="K15" s="813">
        <f t="shared" si="1"/>
        <v>5273870</v>
      </c>
      <c r="L15" s="814">
        <f t="shared" si="1"/>
        <v>5562739</v>
      </c>
    </row>
    <row r="16" spans="1:12" x14ac:dyDescent="0.25">
      <c r="A16" s="650"/>
      <c r="B16" s="2148"/>
      <c r="C16" s="394"/>
      <c r="D16" s="394"/>
      <c r="E16" s="345"/>
      <c r="F16" s="395"/>
      <c r="G16" s="394"/>
      <c r="H16" s="2219"/>
      <c r="I16" s="2225"/>
      <c r="J16" s="396"/>
      <c r="K16" s="394"/>
      <c r="L16" s="345"/>
    </row>
    <row r="17" spans="1:12" ht="11.25" customHeight="1" x14ac:dyDescent="0.25">
      <c r="A17" s="810" t="s">
        <v>2043</v>
      </c>
      <c r="B17" s="2148"/>
      <c r="C17" s="207"/>
      <c r="D17" s="207"/>
      <c r="E17" s="264"/>
      <c r="F17" s="251"/>
      <c r="G17" s="207"/>
      <c r="H17" s="558"/>
      <c r="I17" s="1069"/>
      <c r="J17" s="210"/>
      <c r="K17" s="207"/>
      <c r="L17" s="264"/>
    </row>
    <row r="18" spans="1:12" ht="11.25" customHeight="1" x14ac:dyDescent="0.25">
      <c r="A18" s="1938" t="str">
        <f>$A$6</f>
        <v>Insert description</v>
      </c>
      <c r="B18" s="2148">
        <v>3</v>
      </c>
      <c r="C18" s="1614"/>
      <c r="D18" s="1614"/>
      <c r="E18" s="1634"/>
      <c r="F18" s="1635"/>
      <c r="G18" s="1614"/>
      <c r="H18" s="1615"/>
      <c r="I18" s="1795"/>
      <c r="J18" s="1636"/>
      <c r="K18" s="1614"/>
      <c r="L18" s="1634"/>
    </row>
    <row r="19" spans="1:12" ht="11.25" customHeight="1" x14ac:dyDescent="0.25">
      <c r="A19" s="1913"/>
      <c r="B19" s="2148"/>
      <c r="C19" s="1614"/>
      <c r="D19" s="1614"/>
      <c r="E19" s="1634"/>
      <c r="F19" s="1635"/>
      <c r="G19" s="1614"/>
      <c r="H19" s="1615"/>
      <c r="I19" s="1795"/>
      <c r="J19" s="1636"/>
      <c r="K19" s="1614"/>
      <c r="L19" s="1634"/>
    </row>
    <row r="20" spans="1:12" ht="11.25" customHeight="1" x14ac:dyDescent="0.25">
      <c r="A20" s="1913"/>
      <c r="B20" s="2148"/>
      <c r="C20" s="1614"/>
      <c r="D20" s="1614"/>
      <c r="E20" s="1634"/>
      <c r="F20" s="1635"/>
      <c r="G20" s="1614"/>
      <c r="H20" s="1615"/>
      <c r="I20" s="1795"/>
      <c r="J20" s="1636"/>
      <c r="K20" s="1614"/>
      <c r="L20" s="1634"/>
    </row>
    <row r="21" spans="1:12" ht="11.25" customHeight="1" x14ac:dyDescent="0.25">
      <c r="A21" s="811" t="s">
        <v>2044</v>
      </c>
      <c r="B21" s="2149"/>
      <c r="C21" s="813">
        <f>SUM(C18:C20)</f>
        <v>0</v>
      </c>
      <c r="D21" s="813">
        <f t="shared" ref="D21:L21" si="2">SUM(D18:D20)</f>
        <v>0</v>
      </c>
      <c r="E21" s="814">
        <f t="shared" si="2"/>
        <v>0</v>
      </c>
      <c r="F21" s="815">
        <f t="shared" si="2"/>
        <v>0</v>
      </c>
      <c r="G21" s="813">
        <f t="shared" si="2"/>
        <v>0</v>
      </c>
      <c r="H21" s="2218">
        <f t="shared" si="2"/>
        <v>0</v>
      </c>
      <c r="I21" s="2224">
        <f t="shared" si="2"/>
        <v>0</v>
      </c>
      <c r="J21" s="816">
        <f t="shared" si="2"/>
        <v>0</v>
      </c>
      <c r="K21" s="813">
        <f>SUM(K18:K20)</f>
        <v>0</v>
      </c>
      <c r="L21" s="814">
        <f t="shared" si="2"/>
        <v>0</v>
      </c>
    </row>
    <row r="22" spans="1:12" ht="11.25" customHeight="1" x14ac:dyDescent="0.25">
      <c r="A22" s="650"/>
      <c r="B22" s="2148"/>
      <c r="C22" s="394"/>
      <c r="D22" s="394"/>
      <c r="E22" s="345"/>
      <c r="F22" s="395"/>
      <c r="G22" s="394"/>
      <c r="H22" s="2219"/>
      <c r="I22" s="2225"/>
      <c r="J22" s="396"/>
      <c r="K22" s="394"/>
      <c r="L22" s="345"/>
    </row>
    <row r="23" spans="1:12" ht="11.25" customHeight="1" x14ac:dyDescent="0.25">
      <c r="A23" s="810" t="s">
        <v>2045</v>
      </c>
      <c r="B23" s="2148"/>
      <c r="C23" s="207"/>
      <c r="D23" s="207"/>
      <c r="E23" s="264"/>
      <c r="F23" s="251"/>
      <c r="G23" s="207"/>
      <c r="H23" s="558"/>
      <c r="I23" s="1069"/>
      <c r="J23" s="210"/>
      <c r="K23" s="207"/>
      <c r="L23" s="264"/>
    </row>
    <row r="24" spans="1:12" ht="11.25" customHeight="1" x14ac:dyDescent="0.25">
      <c r="A24" s="1938" t="str">
        <f>$A$6</f>
        <v>Insert description</v>
      </c>
      <c r="B24" s="2148">
        <v>4</v>
      </c>
      <c r="C24" s="1614"/>
      <c r="D24" s="1614"/>
      <c r="E24" s="1634"/>
      <c r="F24" s="1635"/>
      <c r="G24" s="1614"/>
      <c r="H24" s="1615"/>
      <c r="I24" s="1795"/>
      <c r="J24" s="1636"/>
      <c r="K24" s="1614"/>
      <c r="L24" s="1634"/>
    </row>
    <row r="25" spans="1:12" ht="11.25" customHeight="1" x14ac:dyDescent="0.25">
      <c r="A25" s="1913"/>
      <c r="B25" s="2148"/>
      <c r="C25" s="1614"/>
      <c r="D25" s="1614"/>
      <c r="E25" s="1634"/>
      <c r="F25" s="1635"/>
      <c r="G25" s="1614"/>
      <c r="H25" s="1615"/>
      <c r="I25" s="1795"/>
      <c r="J25" s="1636"/>
      <c r="K25" s="1614"/>
      <c r="L25" s="1634"/>
    </row>
    <row r="26" spans="1:12" ht="11.25" customHeight="1" x14ac:dyDescent="0.25">
      <c r="A26" s="1913"/>
      <c r="B26" s="2148"/>
      <c r="C26" s="1614"/>
      <c r="D26" s="1614"/>
      <c r="E26" s="1634"/>
      <c r="F26" s="1635"/>
      <c r="G26" s="1614"/>
      <c r="H26" s="1615"/>
      <c r="I26" s="1795"/>
      <c r="J26" s="1636"/>
      <c r="K26" s="1614"/>
      <c r="L26" s="1634"/>
    </row>
    <row r="27" spans="1:12" ht="12" customHeight="1" x14ac:dyDescent="0.25">
      <c r="A27" s="1570" t="s">
        <v>2046</v>
      </c>
      <c r="B27" s="2149"/>
      <c r="C27" s="813">
        <f>SUM(C24:C26)</f>
        <v>0</v>
      </c>
      <c r="D27" s="813">
        <f t="shared" ref="D27:L27" si="3">SUM(D24:D26)</f>
        <v>0</v>
      </c>
      <c r="E27" s="814">
        <f t="shared" si="3"/>
        <v>0</v>
      </c>
      <c r="F27" s="815">
        <f t="shared" si="3"/>
        <v>0</v>
      </c>
      <c r="G27" s="813">
        <f t="shared" si="3"/>
        <v>0</v>
      </c>
      <c r="H27" s="2218">
        <f t="shared" si="3"/>
        <v>0</v>
      </c>
      <c r="I27" s="2224">
        <f t="shared" si="3"/>
        <v>0</v>
      </c>
      <c r="J27" s="816">
        <f t="shared" si="3"/>
        <v>0</v>
      </c>
      <c r="K27" s="813">
        <f>SUM(K24:K26)</f>
        <v>0</v>
      </c>
      <c r="L27" s="814">
        <f t="shared" si="3"/>
        <v>0</v>
      </c>
    </row>
    <row r="28" spans="1:12" ht="12" customHeight="1" x14ac:dyDescent="0.25">
      <c r="A28" s="2206"/>
      <c r="B28" s="2148"/>
      <c r="C28" s="394"/>
      <c r="D28" s="394"/>
      <c r="E28" s="345"/>
      <c r="F28" s="395"/>
      <c r="G28" s="394"/>
      <c r="H28" s="2219"/>
      <c r="I28" s="2225"/>
      <c r="J28" s="396"/>
      <c r="K28" s="394"/>
      <c r="L28" s="345"/>
    </row>
    <row r="29" spans="1:12" x14ac:dyDescent="0.25">
      <c r="A29" s="810" t="s">
        <v>2047</v>
      </c>
      <c r="B29" s="2148"/>
      <c r="C29" s="207"/>
      <c r="D29" s="207"/>
      <c r="E29" s="264"/>
      <c r="F29" s="251"/>
      <c r="G29" s="207"/>
      <c r="H29" s="558"/>
      <c r="I29" s="1069"/>
      <c r="J29" s="210"/>
      <c r="K29" s="207"/>
      <c r="L29" s="264"/>
    </row>
    <row r="30" spans="1:12" ht="11.25" customHeight="1" x14ac:dyDescent="0.25">
      <c r="A30" s="1938" t="str">
        <f>$A$6</f>
        <v>Insert description</v>
      </c>
      <c r="B30" s="2148">
        <v>5</v>
      </c>
      <c r="C30" s="1614"/>
      <c r="D30" s="1614"/>
      <c r="E30" s="1634"/>
      <c r="F30" s="1635"/>
      <c r="G30" s="1614"/>
      <c r="H30" s="1615"/>
      <c r="I30" s="1795"/>
      <c r="J30" s="1636"/>
      <c r="K30" s="1614"/>
      <c r="L30" s="1634"/>
    </row>
    <row r="31" spans="1:12" ht="11.25" customHeight="1" x14ac:dyDescent="0.25">
      <c r="A31" s="1913"/>
      <c r="B31" s="2148"/>
      <c r="C31" s="1614"/>
      <c r="D31" s="1614"/>
      <c r="E31" s="1634"/>
      <c r="F31" s="1635"/>
      <c r="G31" s="1614"/>
      <c r="H31" s="1615"/>
      <c r="I31" s="1795"/>
      <c r="J31" s="1636"/>
      <c r="K31" s="1614"/>
      <c r="L31" s="1634"/>
    </row>
    <row r="32" spans="1:12" ht="11.25" customHeight="1" x14ac:dyDescent="0.25">
      <c r="A32" s="1913"/>
      <c r="B32" s="2148"/>
      <c r="C32" s="1614"/>
      <c r="D32" s="1614"/>
      <c r="E32" s="1634"/>
      <c r="F32" s="1635"/>
      <c r="G32" s="1614"/>
      <c r="H32" s="1615"/>
      <c r="I32" s="1795"/>
      <c r="J32" s="1636"/>
      <c r="K32" s="1614"/>
      <c r="L32" s="1634"/>
    </row>
    <row r="33" spans="1:16" ht="11.25" customHeight="1" x14ac:dyDescent="0.25">
      <c r="A33" s="1570" t="s">
        <v>2048</v>
      </c>
      <c r="B33" s="2149"/>
      <c r="C33" s="813">
        <f>SUM(C30:C32)</f>
        <v>0</v>
      </c>
      <c r="D33" s="813">
        <f t="shared" ref="D33:L33" si="4">SUM(D30:D32)</f>
        <v>0</v>
      </c>
      <c r="E33" s="814">
        <f t="shared" si="4"/>
        <v>0</v>
      </c>
      <c r="F33" s="815">
        <f>SUM(F30:F32)</f>
        <v>0</v>
      </c>
      <c r="G33" s="813">
        <f t="shared" si="4"/>
        <v>0</v>
      </c>
      <c r="H33" s="2218">
        <f>SUM(H30:H32)</f>
        <v>0</v>
      </c>
      <c r="I33" s="2224">
        <f>SUM(I30:I32)</f>
        <v>0</v>
      </c>
      <c r="J33" s="816">
        <f t="shared" si="4"/>
        <v>0</v>
      </c>
      <c r="K33" s="813">
        <f>SUM(K30:K32)</f>
        <v>0</v>
      </c>
      <c r="L33" s="814">
        <f t="shared" si="4"/>
        <v>0</v>
      </c>
    </row>
    <row r="34" spans="1:16" ht="15" customHeight="1" x14ac:dyDescent="0.25">
      <c r="A34" s="818" t="s">
        <v>2039</v>
      </c>
      <c r="B34" s="2150">
        <v>6</v>
      </c>
      <c r="C34" s="227">
        <f t="shared" ref="C34:L34" si="5">C9+C15+C21+C27+C33</f>
        <v>1710637</v>
      </c>
      <c r="D34" s="227">
        <f t="shared" si="5"/>
        <v>194735</v>
      </c>
      <c r="E34" s="352">
        <f t="shared" si="5"/>
        <v>4143827</v>
      </c>
      <c r="F34" s="353">
        <f t="shared" si="5"/>
        <v>4500000</v>
      </c>
      <c r="G34" s="227">
        <f t="shared" si="5"/>
        <v>4500000</v>
      </c>
      <c r="H34" s="2220">
        <f t="shared" si="5"/>
        <v>4500000</v>
      </c>
      <c r="I34" s="2226">
        <f t="shared" si="5"/>
        <v>4500000</v>
      </c>
      <c r="J34" s="226">
        <f t="shared" si="5"/>
        <v>5027304</v>
      </c>
      <c r="K34" s="227">
        <f t="shared" si="5"/>
        <v>5273870</v>
      </c>
      <c r="L34" s="352">
        <f t="shared" si="5"/>
        <v>5562739</v>
      </c>
    </row>
    <row r="35" spans="1:16" ht="7.5" customHeight="1" x14ac:dyDescent="0.25">
      <c r="A35" s="2209"/>
      <c r="B35" s="2210"/>
      <c r="C35" s="2211"/>
      <c r="D35" s="2211"/>
      <c r="E35" s="2211"/>
      <c r="F35" s="2211"/>
      <c r="G35" s="2211"/>
      <c r="H35" s="2211"/>
      <c r="I35" s="2227"/>
      <c r="J35" s="2211"/>
      <c r="K35" s="2211"/>
      <c r="L35" s="2211"/>
    </row>
    <row r="36" spans="1:16" ht="11.25" customHeight="1" x14ac:dyDescent="0.25">
      <c r="A36" s="897" t="s">
        <v>2155</v>
      </c>
      <c r="B36" s="2212"/>
      <c r="C36" s="426"/>
      <c r="D36" s="426"/>
      <c r="E36" s="2213"/>
      <c r="F36" s="2214"/>
      <c r="G36" s="426"/>
      <c r="H36" s="2221"/>
      <c r="I36" s="2228"/>
      <c r="J36" s="2215"/>
      <c r="K36" s="426"/>
      <c r="L36" s="2213"/>
    </row>
    <row r="37" spans="1:16" ht="11.25" customHeight="1" x14ac:dyDescent="0.25">
      <c r="A37" s="1938" t="s">
        <v>1093</v>
      </c>
      <c r="B37" s="2146">
        <v>1</v>
      </c>
      <c r="C37" s="1614"/>
      <c r="D37" s="1614"/>
      <c r="E37" s="1634"/>
      <c r="F37" s="1635"/>
      <c r="G37" s="1614"/>
      <c r="H37" s="1615"/>
      <c r="I37" s="1795"/>
      <c r="J37" s="1636"/>
      <c r="K37" s="1614"/>
      <c r="L37" s="1634"/>
    </row>
    <row r="38" spans="1:16" ht="11.25" customHeight="1" x14ac:dyDescent="0.25">
      <c r="A38" s="1939"/>
      <c r="B38" s="2146"/>
      <c r="C38" s="1614"/>
      <c r="D38" s="1614"/>
      <c r="E38" s="1634"/>
      <c r="F38" s="1635"/>
      <c r="G38" s="1614"/>
      <c r="H38" s="1615"/>
      <c r="I38" s="1795"/>
      <c r="J38" s="1636"/>
      <c r="K38" s="1614"/>
      <c r="L38" s="1634"/>
      <c r="P38" s="370"/>
    </row>
    <row r="39" spans="1:16" ht="11.25" customHeight="1" x14ac:dyDescent="0.25">
      <c r="A39" s="1939"/>
      <c r="B39" s="2146"/>
      <c r="C39" s="1614"/>
      <c r="D39" s="1614"/>
      <c r="E39" s="1634"/>
      <c r="F39" s="1635"/>
      <c r="G39" s="1614"/>
      <c r="H39" s="1615"/>
      <c r="I39" s="1795"/>
      <c r="J39" s="1636"/>
      <c r="K39" s="1614"/>
      <c r="L39" s="1634"/>
    </row>
    <row r="40" spans="1:16" ht="11.25" customHeight="1" x14ac:dyDescent="0.25">
      <c r="A40" s="797" t="s">
        <v>2156</v>
      </c>
      <c r="B40" s="2147"/>
      <c r="C40" s="276">
        <f>SUM(C37:C39)</f>
        <v>0</v>
      </c>
      <c r="D40" s="276">
        <f t="shared" ref="D40:L40" si="6">SUM(D37:D39)</f>
        <v>0</v>
      </c>
      <c r="E40" s="277">
        <f t="shared" si="6"/>
        <v>0</v>
      </c>
      <c r="F40" s="278">
        <f t="shared" si="6"/>
        <v>0</v>
      </c>
      <c r="G40" s="276">
        <f t="shared" si="6"/>
        <v>0</v>
      </c>
      <c r="H40" s="2217">
        <f t="shared" si="6"/>
        <v>0</v>
      </c>
      <c r="I40" s="2223">
        <f t="shared" si="6"/>
        <v>0</v>
      </c>
      <c r="J40" s="275">
        <f t="shared" si="6"/>
        <v>0</v>
      </c>
      <c r="K40" s="276">
        <f t="shared" si="6"/>
        <v>0</v>
      </c>
      <c r="L40" s="277">
        <f t="shared" si="6"/>
        <v>0</v>
      </c>
    </row>
    <row r="41" spans="1:16" ht="11.25" customHeight="1" x14ac:dyDescent="0.25">
      <c r="A41" s="273"/>
      <c r="B41" s="2146"/>
      <c r="C41" s="203"/>
      <c r="D41" s="203"/>
      <c r="E41" s="204"/>
      <c r="F41" s="205"/>
      <c r="G41" s="203"/>
      <c r="H41" s="2216"/>
      <c r="I41" s="586"/>
      <c r="J41" s="202"/>
      <c r="K41" s="203"/>
      <c r="L41" s="204"/>
    </row>
    <row r="42" spans="1:16" ht="11.25" customHeight="1" x14ac:dyDescent="0.25">
      <c r="A42" s="810" t="s">
        <v>2157</v>
      </c>
      <c r="B42" s="2148"/>
      <c r="C42" s="207"/>
      <c r="D42" s="207"/>
      <c r="E42" s="264"/>
      <c r="F42" s="251"/>
      <c r="G42" s="207"/>
      <c r="H42" s="558"/>
      <c r="I42" s="1069"/>
      <c r="J42" s="210"/>
      <c r="K42" s="207"/>
      <c r="L42" s="264"/>
    </row>
    <row r="43" spans="1:16" ht="11.25" customHeight="1" x14ac:dyDescent="0.25">
      <c r="A43" s="1938" t="str">
        <f>$A$6</f>
        <v>Insert description</v>
      </c>
      <c r="B43" s="2148">
        <v>2</v>
      </c>
      <c r="C43" s="1614"/>
      <c r="D43" s="1614"/>
      <c r="E43" s="1634"/>
      <c r="F43" s="1635"/>
      <c r="G43" s="1614"/>
      <c r="H43" s="1615"/>
      <c r="I43" s="1795"/>
      <c r="J43" s="1636"/>
      <c r="K43" s="1614"/>
      <c r="L43" s="1634"/>
    </row>
    <row r="44" spans="1:16" ht="11.25" customHeight="1" x14ac:dyDescent="0.25">
      <c r="A44" s="1913"/>
      <c r="B44" s="2148"/>
      <c r="C44" s="1614"/>
      <c r="D44" s="1614"/>
      <c r="E44" s="1634"/>
      <c r="F44" s="1635"/>
      <c r="G44" s="1614"/>
      <c r="H44" s="1615"/>
      <c r="I44" s="1795"/>
      <c r="J44" s="1636"/>
      <c r="K44" s="1614"/>
      <c r="L44" s="1634"/>
    </row>
    <row r="45" spans="1:16" ht="11.25" customHeight="1" x14ac:dyDescent="0.25">
      <c r="A45" s="1913"/>
      <c r="B45" s="2148"/>
      <c r="C45" s="1614"/>
      <c r="D45" s="1614"/>
      <c r="E45" s="1634"/>
      <c r="F45" s="1635"/>
      <c r="G45" s="1614"/>
      <c r="H45" s="1615"/>
      <c r="I45" s="1795"/>
      <c r="J45" s="1636"/>
      <c r="K45" s="1614"/>
      <c r="L45" s="1634"/>
    </row>
    <row r="46" spans="1:16" ht="11.25" customHeight="1" x14ac:dyDescent="0.25">
      <c r="A46" s="811" t="s">
        <v>2158</v>
      </c>
      <c r="B46" s="2149"/>
      <c r="C46" s="813">
        <f>SUM(C43:C45)</f>
        <v>0</v>
      </c>
      <c r="D46" s="813">
        <f t="shared" ref="D46:L46" si="7">SUM(D43:D45)</f>
        <v>0</v>
      </c>
      <c r="E46" s="814">
        <f t="shared" si="7"/>
        <v>0</v>
      </c>
      <c r="F46" s="815">
        <f t="shared" si="7"/>
        <v>0</v>
      </c>
      <c r="G46" s="813">
        <f t="shared" si="7"/>
        <v>0</v>
      </c>
      <c r="H46" s="2218">
        <f t="shared" si="7"/>
        <v>0</v>
      </c>
      <c r="I46" s="2224">
        <f t="shared" si="7"/>
        <v>0</v>
      </c>
      <c r="J46" s="816">
        <f t="shared" si="7"/>
        <v>0</v>
      </c>
      <c r="K46" s="813">
        <f t="shared" si="7"/>
        <v>0</v>
      </c>
      <c r="L46" s="814">
        <f t="shared" si="7"/>
        <v>0</v>
      </c>
    </row>
    <row r="47" spans="1:16" ht="11.25" customHeight="1" x14ac:dyDescent="0.25">
      <c r="A47" s="650"/>
      <c r="B47" s="2148"/>
      <c r="C47" s="394"/>
      <c r="D47" s="394"/>
      <c r="E47" s="345"/>
      <c r="F47" s="395"/>
      <c r="G47" s="394"/>
      <c r="H47" s="2219"/>
      <c r="I47" s="2225"/>
      <c r="J47" s="396"/>
      <c r="K47" s="394"/>
      <c r="L47" s="345"/>
    </row>
    <row r="48" spans="1:16" ht="11.25" customHeight="1" x14ac:dyDescent="0.25">
      <c r="A48" s="810" t="s">
        <v>2159</v>
      </c>
      <c r="B48" s="2148"/>
      <c r="C48" s="207"/>
      <c r="D48" s="207"/>
      <c r="E48" s="264"/>
      <c r="F48" s="251"/>
      <c r="G48" s="207"/>
      <c r="H48" s="558"/>
      <c r="I48" s="1069"/>
      <c r="J48" s="210"/>
      <c r="K48" s="207"/>
      <c r="L48" s="264"/>
    </row>
    <row r="49" spans="1:12" ht="11.25" customHeight="1" x14ac:dyDescent="0.25">
      <c r="A49" s="1938" t="str">
        <f>$A$6</f>
        <v>Insert description</v>
      </c>
      <c r="B49" s="2148">
        <v>3</v>
      </c>
      <c r="C49" s="1614"/>
      <c r="D49" s="1614"/>
      <c r="E49" s="1634"/>
      <c r="F49" s="1635"/>
      <c r="G49" s="1614"/>
      <c r="H49" s="1615"/>
      <c r="I49" s="1795"/>
      <c r="J49" s="1636"/>
      <c r="K49" s="1614"/>
      <c r="L49" s="1634"/>
    </row>
    <row r="50" spans="1:12" ht="11.25" customHeight="1" x14ac:dyDescent="0.25">
      <c r="A50" s="1913"/>
      <c r="B50" s="2148"/>
      <c r="C50" s="1614"/>
      <c r="D50" s="1614"/>
      <c r="E50" s="1634"/>
      <c r="F50" s="1635"/>
      <c r="G50" s="1614"/>
      <c r="H50" s="1615"/>
      <c r="I50" s="1795"/>
      <c r="J50" s="1636"/>
      <c r="K50" s="1614"/>
      <c r="L50" s="1634"/>
    </row>
    <row r="51" spans="1:12" ht="11.25" customHeight="1" x14ac:dyDescent="0.25">
      <c r="A51" s="1913"/>
      <c r="B51" s="2148"/>
      <c r="C51" s="1614"/>
      <c r="D51" s="1614"/>
      <c r="E51" s="1634"/>
      <c r="F51" s="1635"/>
      <c r="G51" s="1614"/>
      <c r="H51" s="1615"/>
      <c r="I51" s="1795"/>
      <c r="J51" s="1636"/>
      <c r="K51" s="1614"/>
      <c r="L51" s="1634"/>
    </row>
    <row r="52" spans="1:12" ht="11.25" customHeight="1" x14ac:dyDescent="0.25">
      <c r="A52" s="811" t="s">
        <v>2160</v>
      </c>
      <c r="B52" s="2149"/>
      <c r="C52" s="813">
        <f>SUM(C49:C51)</f>
        <v>0</v>
      </c>
      <c r="D52" s="813">
        <f t="shared" ref="D52:J52" si="8">SUM(D49:D51)</f>
        <v>0</v>
      </c>
      <c r="E52" s="814">
        <f t="shared" si="8"/>
        <v>0</v>
      </c>
      <c r="F52" s="815">
        <f t="shared" si="8"/>
        <v>0</v>
      </c>
      <c r="G52" s="813">
        <f t="shared" si="8"/>
        <v>0</v>
      </c>
      <c r="H52" s="2218">
        <f t="shared" si="8"/>
        <v>0</v>
      </c>
      <c r="I52" s="2224">
        <f t="shared" si="8"/>
        <v>0</v>
      </c>
      <c r="J52" s="816">
        <f t="shared" si="8"/>
        <v>0</v>
      </c>
      <c r="K52" s="813">
        <f>SUM(K49:K51)</f>
        <v>0</v>
      </c>
      <c r="L52" s="814">
        <f>SUM(L49:L51)</f>
        <v>0</v>
      </c>
    </row>
    <row r="53" spans="1:12" ht="11.25" customHeight="1" x14ac:dyDescent="0.25">
      <c r="A53" s="650"/>
      <c r="B53" s="2148"/>
      <c r="C53" s="394"/>
      <c r="D53" s="394"/>
      <c r="E53" s="345"/>
      <c r="F53" s="395"/>
      <c r="G53" s="394"/>
      <c r="H53" s="2219"/>
      <c r="I53" s="2225"/>
      <c r="J53" s="396"/>
      <c r="K53" s="394"/>
      <c r="L53" s="345"/>
    </row>
    <row r="54" spans="1:12" ht="11.25" customHeight="1" x14ac:dyDescent="0.25">
      <c r="A54" s="810" t="s">
        <v>2161</v>
      </c>
      <c r="B54" s="2148"/>
      <c r="C54" s="207"/>
      <c r="D54" s="207"/>
      <c r="E54" s="264"/>
      <c r="F54" s="251"/>
      <c r="G54" s="207"/>
      <c r="H54" s="558"/>
      <c r="I54" s="1069"/>
      <c r="J54" s="210"/>
      <c r="K54" s="207"/>
      <c r="L54" s="264"/>
    </row>
    <row r="55" spans="1:12" ht="11.25" customHeight="1" x14ac:dyDescent="0.25">
      <c r="A55" s="1938" t="str">
        <f>$A$6</f>
        <v>Insert description</v>
      </c>
      <c r="B55" s="2148">
        <v>4</v>
      </c>
      <c r="C55" s="1614"/>
      <c r="D55" s="1614"/>
      <c r="E55" s="1634"/>
      <c r="F55" s="1635"/>
      <c r="G55" s="1614"/>
      <c r="H55" s="1615"/>
      <c r="I55" s="1795"/>
      <c r="J55" s="1636"/>
      <c r="K55" s="1614"/>
      <c r="L55" s="1634"/>
    </row>
    <row r="56" spans="1:12" ht="11.25" customHeight="1" x14ac:dyDescent="0.25">
      <c r="A56" s="1913"/>
      <c r="B56" s="2148"/>
      <c r="C56" s="1614"/>
      <c r="D56" s="1614"/>
      <c r="E56" s="1634"/>
      <c r="F56" s="1635"/>
      <c r="G56" s="1614"/>
      <c r="H56" s="1615"/>
      <c r="I56" s="1795"/>
      <c r="J56" s="1636"/>
      <c r="K56" s="1614"/>
      <c r="L56" s="1634"/>
    </row>
    <row r="57" spans="1:12" ht="11.25" customHeight="1" x14ac:dyDescent="0.25">
      <c r="A57" s="1913"/>
      <c r="B57" s="2148"/>
      <c r="C57" s="1614"/>
      <c r="D57" s="1614"/>
      <c r="E57" s="1634"/>
      <c r="F57" s="1635"/>
      <c r="G57" s="1614"/>
      <c r="H57" s="1615"/>
      <c r="I57" s="1795"/>
      <c r="J57" s="1636"/>
      <c r="K57" s="1614"/>
      <c r="L57" s="1634"/>
    </row>
    <row r="58" spans="1:12" ht="11.25" customHeight="1" x14ac:dyDescent="0.25">
      <c r="A58" s="1570" t="s">
        <v>2162</v>
      </c>
      <c r="B58" s="2149"/>
      <c r="C58" s="813">
        <f>SUM(C55:C57)</f>
        <v>0</v>
      </c>
      <c r="D58" s="813">
        <f t="shared" ref="D58:J58" si="9">SUM(D55:D57)</f>
        <v>0</v>
      </c>
      <c r="E58" s="814">
        <f t="shared" si="9"/>
        <v>0</v>
      </c>
      <c r="F58" s="815">
        <f t="shared" si="9"/>
        <v>0</v>
      </c>
      <c r="G58" s="813">
        <f t="shared" si="9"/>
        <v>0</v>
      </c>
      <c r="H58" s="2218">
        <f t="shared" si="9"/>
        <v>0</v>
      </c>
      <c r="I58" s="2224">
        <f t="shared" si="9"/>
        <v>0</v>
      </c>
      <c r="J58" s="816">
        <f t="shared" si="9"/>
        <v>0</v>
      </c>
      <c r="K58" s="813">
        <f>SUM(K55:K57)</f>
        <v>0</v>
      </c>
      <c r="L58" s="814">
        <f>SUM(L55:L57)</f>
        <v>0</v>
      </c>
    </row>
    <row r="59" spans="1:12" ht="11.25" customHeight="1" x14ac:dyDescent="0.25">
      <c r="A59" s="2206"/>
      <c r="B59" s="2148"/>
      <c r="C59" s="394"/>
      <c r="D59" s="394"/>
      <c r="E59" s="345"/>
      <c r="F59" s="395"/>
      <c r="G59" s="394"/>
      <c r="H59" s="2219"/>
      <c r="I59" s="2225"/>
      <c r="J59" s="396"/>
      <c r="K59" s="394"/>
      <c r="L59" s="345"/>
    </row>
    <row r="60" spans="1:12" ht="11.25" customHeight="1" x14ac:dyDescent="0.25">
      <c r="A60" s="810" t="s">
        <v>2035</v>
      </c>
      <c r="B60" s="2148"/>
      <c r="C60" s="207"/>
      <c r="D60" s="207"/>
      <c r="E60" s="264"/>
      <c r="F60" s="251"/>
      <c r="G60" s="207"/>
      <c r="H60" s="558"/>
      <c r="I60" s="1069"/>
      <c r="J60" s="210"/>
      <c r="K60" s="207"/>
      <c r="L60" s="264"/>
    </row>
    <row r="61" spans="1:12" ht="11.25" customHeight="1" x14ac:dyDescent="0.25">
      <c r="A61" s="1938" t="str">
        <f>$A$6</f>
        <v>Insert description</v>
      </c>
      <c r="B61" s="2148">
        <v>5</v>
      </c>
      <c r="C61" s="1614"/>
      <c r="D61" s="1614"/>
      <c r="E61" s="1634"/>
      <c r="F61" s="1635"/>
      <c r="G61" s="1614"/>
      <c r="H61" s="1615"/>
      <c r="I61" s="1795"/>
      <c r="J61" s="1636"/>
      <c r="K61" s="1614"/>
      <c r="L61" s="1634"/>
    </row>
    <row r="62" spans="1:12" ht="11.25" customHeight="1" x14ac:dyDescent="0.25">
      <c r="A62" s="1913"/>
      <c r="B62" s="2148"/>
      <c r="C62" s="1614"/>
      <c r="D62" s="1614"/>
      <c r="E62" s="1634"/>
      <c r="F62" s="1635"/>
      <c r="G62" s="1614"/>
      <c r="H62" s="1615"/>
      <c r="I62" s="1795"/>
      <c r="J62" s="1636"/>
      <c r="K62" s="1614"/>
      <c r="L62" s="1634"/>
    </row>
    <row r="63" spans="1:12" ht="11.25" customHeight="1" x14ac:dyDescent="0.25">
      <c r="A63" s="1913"/>
      <c r="B63" s="2148"/>
      <c r="C63" s="1614"/>
      <c r="D63" s="1614"/>
      <c r="E63" s="1634"/>
      <c r="F63" s="1635"/>
      <c r="G63" s="1614"/>
      <c r="H63" s="1615"/>
      <c r="I63" s="1795"/>
      <c r="J63" s="1636"/>
      <c r="K63" s="1614"/>
      <c r="L63" s="1634"/>
    </row>
    <row r="64" spans="1:12" ht="11.25" customHeight="1" x14ac:dyDescent="0.25">
      <c r="A64" s="1570" t="s">
        <v>2163</v>
      </c>
      <c r="B64" s="2149"/>
      <c r="C64" s="813">
        <f t="shared" ref="C64:L64" si="10">SUM(C61:C63)</f>
        <v>0</v>
      </c>
      <c r="D64" s="813">
        <f t="shared" si="10"/>
        <v>0</v>
      </c>
      <c r="E64" s="814">
        <f t="shared" si="10"/>
        <v>0</v>
      </c>
      <c r="F64" s="815">
        <f t="shared" si="10"/>
        <v>0</v>
      </c>
      <c r="G64" s="813">
        <f t="shared" si="10"/>
        <v>0</v>
      </c>
      <c r="H64" s="2218">
        <f t="shared" si="10"/>
        <v>0</v>
      </c>
      <c r="I64" s="2224">
        <f t="shared" si="10"/>
        <v>0</v>
      </c>
      <c r="J64" s="816">
        <f t="shared" si="10"/>
        <v>0</v>
      </c>
      <c r="K64" s="813">
        <f t="shared" si="10"/>
        <v>0</v>
      </c>
      <c r="L64" s="814">
        <f t="shared" si="10"/>
        <v>0</v>
      </c>
    </row>
    <row r="65" spans="1:12" ht="15" customHeight="1" x14ac:dyDescent="0.25">
      <c r="A65" s="818" t="s">
        <v>2164</v>
      </c>
      <c r="B65" s="2150"/>
      <c r="C65" s="227">
        <f t="shared" ref="C65:L65" si="11">C40+C46+C52+C58+C64</f>
        <v>0</v>
      </c>
      <c r="D65" s="227">
        <f t="shared" si="11"/>
        <v>0</v>
      </c>
      <c r="E65" s="352">
        <f t="shared" si="11"/>
        <v>0</v>
      </c>
      <c r="F65" s="353">
        <f t="shared" si="11"/>
        <v>0</v>
      </c>
      <c r="G65" s="227">
        <f t="shared" si="11"/>
        <v>0</v>
      </c>
      <c r="H65" s="2220">
        <f t="shared" si="11"/>
        <v>0</v>
      </c>
      <c r="I65" s="2226">
        <f t="shared" si="11"/>
        <v>0</v>
      </c>
      <c r="J65" s="226">
        <f t="shared" si="11"/>
        <v>0</v>
      </c>
      <c r="K65" s="227">
        <f t="shared" si="11"/>
        <v>0</v>
      </c>
      <c r="L65" s="352">
        <f t="shared" si="11"/>
        <v>0</v>
      </c>
    </row>
    <row r="66" spans="1:12" ht="15" customHeight="1" x14ac:dyDescent="0.25">
      <c r="A66" s="818" t="s">
        <v>310</v>
      </c>
      <c r="B66" s="2150">
        <v>6</v>
      </c>
      <c r="C66" s="227">
        <f>C34+C65</f>
        <v>1710637</v>
      </c>
      <c r="D66" s="227">
        <f t="shared" ref="D66:L66" si="12">D34+D65</f>
        <v>194735</v>
      </c>
      <c r="E66" s="352">
        <f t="shared" si="12"/>
        <v>4143827</v>
      </c>
      <c r="F66" s="353">
        <f t="shared" si="12"/>
        <v>4500000</v>
      </c>
      <c r="G66" s="227">
        <f t="shared" si="12"/>
        <v>4500000</v>
      </c>
      <c r="H66" s="2220">
        <f t="shared" si="12"/>
        <v>4500000</v>
      </c>
      <c r="I66" s="2226">
        <f t="shared" si="12"/>
        <v>4500000</v>
      </c>
      <c r="J66" s="226">
        <f t="shared" si="12"/>
        <v>5027304</v>
      </c>
      <c r="K66" s="227">
        <f t="shared" si="12"/>
        <v>5273870</v>
      </c>
      <c r="L66" s="352">
        <f t="shared" si="12"/>
        <v>5562739</v>
      </c>
    </row>
    <row r="67" spans="1:12" ht="11.25" customHeight="1" x14ac:dyDescent="0.25">
      <c r="A67" s="235" t="str">
        <f>head27a</f>
        <v>References</v>
      </c>
      <c r="B67" s="236"/>
      <c r="C67" s="241"/>
      <c r="D67" s="241"/>
      <c r="E67" s="241"/>
      <c r="F67" s="241"/>
      <c r="G67" s="241"/>
      <c r="H67" s="241"/>
      <c r="I67" s="241"/>
      <c r="J67" s="241"/>
      <c r="K67" s="241"/>
      <c r="L67" s="241"/>
    </row>
    <row r="68" spans="1:12" x14ac:dyDescent="0.25">
      <c r="A68" s="242" t="s">
        <v>1334</v>
      </c>
    </row>
    <row r="69" spans="1:12" x14ac:dyDescent="0.25">
      <c r="A69" s="242" t="s">
        <v>1291</v>
      </c>
    </row>
    <row r="70" spans="1:12" x14ac:dyDescent="0.25">
      <c r="A70" s="242" t="s">
        <v>1384</v>
      </c>
    </row>
    <row r="71" spans="1:12" x14ac:dyDescent="0.25">
      <c r="A71" s="242" t="s">
        <v>1720</v>
      </c>
    </row>
    <row r="72" spans="1:12" x14ac:dyDescent="0.25">
      <c r="A72" s="242" t="s">
        <v>2037</v>
      </c>
    </row>
    <row r="73" spans="1:12" x14ac:dyDescent="0.25">
      <c r="A73" s="242" t="s">
        <v>2036</v>
      </c>
    </row>
  </sheetData>
  <sheetProtection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78" orientation="portrait" r:id="rId1"/>
  <headerFooter alignWithMargins="0"/>
  <ignoredErrors>
    <ignoredError sqref="A18 A24 A30 A43 A49 A55 A61"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enableFormatConditionsCalculation="0">
    <tabColor indexed="42"/>
    <pageSetUpPr fitToPage="1"/>
  </sheetPr>
  <dimension ref="A1:O196"/>
  <sheetViews>
    <sheetView showGridLines="0" zoomScaleNormal="100" workbookViewId="0">
      <pane xSplit="2" ySplit="4" topLeftCell="C107" activePane="bottomRight" state="frozen"/>
      <selection pane="topRight"/>
      <selection pane="bottomLeft"/>
      <selection pane="bottomRight" activeCell="I106" sqref="I106"/>
    </sheetView>
  </sheetViews>
  <sheetFormatPr defaultColWidth="9.1796875" defaultRowHeight="10.5" x14ac:dyDescent="0.25"/>
  <cols>
    <col min="1" max="1" width="30.7265625" style="149" customWidth="1"/>
    <col min="2" max="2" width="3" style="247" customWidth="1"/>
    <col min="3" max="11" width="9.26953125" style="149" customWidth="1"/>
    <col min="12" max="12" width="9.81640625" style="149" customWidth="1"/>
    <col min="13" max="13" width="9.54296875" style="149" customWidth="1"/>
    <col min="14" max="14" width="9.81640625" style="149" customWidth="1"/>
    <col min="15" max="17" width="9.54296875" style="149" customWidth="1"/>
    <col min="18" max="18" width="9.81640625" style="149" customWidth="1"/>
    <col min="19" max="21" width="9.54296875" style="149" customWidth="1"/>
    <col min="22" max="23" width="9.81640625" style="149" customWidth="1"/>
    <col min="24" max="16384" width="9.1796875" style="149"/>
  </cols>
  <sheetData>
    <row r="1" spans="1:12" ht="13.5" customHeight="1" x14ac:dyDescent="0.3">
      <c r="A1" s="147" t="str">
        <f>muni&amp;" - "&amp;TableA22</f>
        <v>KZN225 Msunduzi - Supporting Table SA22 Summary councillor and staff benefits</v>
      </c>
      <c r="B1" s="147"/>
      <c r="C1" s="147"/>
      <c r="D1" s="147"/>
      <c r="E1" s="147"/>
      <c r="F1" s="147"/>
      <c r="G1" s="147"/>
      <c r="H1" s="147"/>
      <c r="I1" s="147"/>
      <c r="J1" s="147"/>
      <c r="K1" s="147"/>
    </row>
    <row r="2" spans="1:12" ht="28.5" customHeight="1" x14ac:dyDescent="0.25">
      <c r="A2" s="985" t="s">
        <v>1634</v>
      </c>
      <c r="B2" s="419" t="str">
        <f>head27</f>
        <v>Ref</v>
      </c>
      <c r="C2" s="150" t="str">
        <f>head1b</f>
        <v>2009/10</v>
      </c>
      <c r="D2" s="756" t="str">
        <f>head1A</f>
        <v>2010/11</v>
      </c>
      <c r="E2" s="146" t="str">
        <f>Head1</f>
        <v>2011/12</v>
      </c>
      <c r="F2" s="2677" t="str">
        <f>Head2</f>
        <v>Current Year 2012/13</v>
      </c>
      <c r="G2" s="2678"/>
      <c r="H2" s="2682"/>
      <c r="I2" s="2675" t="str">
        <f>Head3</f>
        <v>2013/14 Medium Term Revenue &amp; Expenditure Framework</v>
      </c>
      <c r="J2" s="2675"/>
      <c r="K2" s="2676"/>
    </row>
    <row r="3" spans="1:12" ht="21" x14ac:dyDescent="0.25">
      <c r="A3" s="180" t="s">
        <v>665</v>
      </c>
      <c r="B3" s="990"/>
      <c r="C3" s="390" t="str">
        <f>Head5</f>
        <v>Audited Outcome</v>
      </c>
      <c r="D3" s="999" t="str">
        <f>Head5</f>
        <v>Audited Outcome</v>
      </c>
      <c r="E3" s="391" t="str">
        <f>Head5</f>
        <v>Audited Outcome</v>
      </c>
      <c r="F3" s="299" t="str">
        <f>Head6</f>
        <v>Original Budget</v>
      </c>
      <c r="G3" s="390" t="str">
        <f>Head7</f>
        <v>Adjusted Budget</v>
      </c>
      <c r="H3" s="391" t="str">
        <f>Head8</f>
        <v>Full Year Forecast</v>
      </c>
      <c r="I3" s="389" t="str">
        <f>Head9</f>
        <v>Budget Year 2013/14</v>
      </c>
      <c r="J3" s="390" t="str">
        <f>Head10</f>
        <v>Budget Year +1 2014/15</v>
      </c>
      <c r="K3" s="391" t="str">
        <f>Head11</f>
        <v>Budget Year +2 2015/16</v>
      </c>
    </row>
    <row r="4" spans="1:12" x14ac:dyDescent="0.25">
      <c r="A4" s="249"/>
      <c r="B4" s="182">
        <v>1</v>
      </c>
      <c r="C4" s="182" t="s">
        <v>406</v>
      </c>
      <c r="D4" s="182" t="s">
        <v>1336</v>
      </c>
      <c r="E4" s="820" t="s">
        <v>495</v>
      </c>
      <c r="F4" s="821" t="s">
        <v>545</v>
      </c>
      <c r="G4" s="182" t="s">
        <v>1542</v>
      </c>
      <c r="H4" s="820" t="s">
        <v>1543</v>
      </c>
      <c r="I4" s="652" t="s">
        <v>1544</v>
      </c>
      <c r="J4" s="182" t="s">
        <v>559</v>
      </c>
      <c r="K4" s="820" t="s">
        <v>560</v>
      </c>
    </row>
    <row r="5" spans="1:12" ht="11.25" customHeight="1" x14ac:dyDescent="0.25">
      <c r="A5" s="249" t="s">
        <v>762</v>
      </c>
      <c r="B5" s="182"/>
      <c r="C5" s="203"/>
      <c r="D5" s="203"/>
      <c r="E5" s="204"/>
      <c r="F5" s="205"/>
      <c r="G5" s="203"/>
      <c r="H5" s="204"/>
      <c r="I5" s="202"/>
      <c r="J5" s="203"/>
      <c r="K5" s="204"/>
    </row>
    <row r="6" spans="1:12" ht="11.25" customHeight="1" x14ac:dyDescent="0.25">
      <c r="A6" s="250" t="s">
        <v>1301</v>
      </c>
      <c r="B6" s="182"/>
      <c r="C6" s="1614">
        <v>13842573</v>
      </c>
      <c r="D6" s="1614">
        <v>12621291</v>
      </c>
      <c r="E6" s="1634">
        <v>12207327.140000001</v>
      </c>
      <c r="F6" s="1618">
        <v>24677397</v>
      </c>
      <c r="G6" s="1618">
        <v>24677397</v>
      </c>
      <c r="H6" s="1634">
        <f t="shared" ref="H6:H11" si="0">G6</f>
        <v>24677397</v>
      </c>
      <c r="I6" s="1614">
        <v>24694397</v>
      </c>
      <c r="J6" s="1634">
        <v>25721230</v>
      </c>
      <c r="K6" s="1634">
        <v>27135000</v>
      </c>
    </row>
    <row r="7" spans="1:12" ht="11.25" customHeight="1" x14ac:dyDescent="0.25">
      <c r="A7" s="250" t="s">
        <v>2054</v>
      </c>
      <c r="B7" s="182"/>
      <c r="C7" s="1614">
        <v>1621080</v>
      </c>
      <c r="D7" s="1614">
        <v>2538378</v>
      </c>
      <c r="E7" s="1634">
        <v>1645026.28</v>
      </c>
      <c r="F7" s="1618">
        <v>2597062.08</v>
      </c>
      <c r="G7" s="1618">
        <v>2597062.08</v>
      </c>
      <c r="H7" s="1634">
        <f t="shared" si="0"/>
        <v>2597062.08</v>
      </c>
      <c r="I7" s="1614">
        <v>2597062.08</v>
      </c>
      <c r="J7" s="1634">
        <v>2897062.08</v>
      </c>
      <c r="K7" s="1634">
        <v>3056000</v>
      </c>
    </row>
    <row r="8" spans="1:12" ht="11.25" customHeight="1" x14ac:dyDescent="0.25">
      <c r="A8" s="250" t="s">
        <v>763</v>
      </c>
      <c r="B8" s="182"/>
      <c r="C8" s="1614">
        <v>518724</v>
      </c>
      <c r="D8" s="1614">
        <v>410970</v>
      </c>
      <c r="E8" s="1634">
        <v>332673.24</v>
      </c>
      <c r="F8" s="1618">
        <v>325367.15999999997</v>
      </c>
      <c r="G8" s="1618">
        <v>325367.15999999997</v>
      </c>
      <c r="H8" s="1634">
        <f t="shared" si="0"/>
        <v>325367.15999999997</v>
      </c>
      <c r="I8" s="1614">
        <v>325367.15999999997</v>
      </c>
      <c r="J8" s="1634">
        <v>375367.16</v>
      </c>
      <c r="K8" s="1634">
        <v>395000</v>
      </c>
    </row>
    <row r="9" spans="1:12" ht="11.25" customHeight="1" x14ac:dyDescent="0.25">
      <c r="A9" s="250" t="s">
        <v>2209</v>
      </c>
      <c r="B9" s="182"/>
      <c r="C9" s="1614">
        <v>2152344</v>
      </c>
      <c r="D9" s="1614">
        <v>4569848</v>
      </c>
      <c r="E9" s="1634">
        <v>3054912.86</v>
      </c>
      <c r="F9" s="1618">
        <v>5338000</v>
      </c>
      <c r="G9" s="1618">
        <v>5338000</v>
      </c>
      <c r="H9" s="1634">
        <f t="shared" si="0"/>
        <v>5338000</v>
      </c>
      <c r="I9" s="1614">
        <v>5338000</v>
      </c>
      <c r="J9" s="1634">
        <v>5588000</v>
      </c>
      <c r="K9" s="1634">
        <v>5895000</v>
      </c>
      <c r="L9" s="370"/>
    </row>
    <row r="10" spans="1:12" ht="11.25" customHeight="1" x14ac:dyDescent="0.25">
      <c r="A10" s="190" t="s">
        <v>2055</v>
      </c>
      <c r="B10" s="182"/>
      <c r="C10" s="1614">
        <v>382452</v>
      </c>
      <c r="D10" s="1614">
        <v>428352</v>
      </c>
      <c r="E10" s="1634">
        <v>787848</v>
      </c>
      <c r="F10" s="1618">
        <v>947436</v>
      </c>
      <c r="G10" s="1618">
        <v>947436</v>
      </c>
      <c r="H10" s="1634">
        <f t="shared" si="0"/>
        <v>947436</v>
      </c>
      <c r="I10" s="1614">
        <v>947436</v>
      </c>
      <c r="J10" s="1634">
        <v>977436</v>
      </c>
      <c r="K10" s="1634">
        <v>1030000</v>
      </c>
      <c r="L10" s="370"/>
    </row>
    <row r="11" spans="1:12" ht="11.25" customHeight="1" x14ac:dyDescent="0.25">
      <c r="A11" s="190" t="s">
        <v>2210</v>
      </c>
      <c r="B11" s="182"/>
      <c r="C11" s="1614"/>
      <c r="D11" s="1614"/>
      <c r="E11" s="1634">
        <v>124299.63</v>
      </c>
      <c r="F11" s="1618">
        <v>114738.12</v>
      </c>
      <c r="G11" s="1618">
        <v>114738.12</v>
      </c>
      <c r="H11" s="1634">
        <f t="shared" si="0"/>
        <v>114738.12</v>
      </c>
      <c r="I11" s="1614">
        <v>114738.12</v>
      </c>
      <c r="J11" s="1634">
        <v>124738.12</v>
      </c>
      <c r="K11" s="1634">
        <v>131000</v>
      </c>
      <c r="L11" s="370"/>
    </row>
    <row r="12" spans="1:12" ht="11.25" customHeight="1" x14ac:dyDescent="0.25">
      <c r="A12" s="190" t="s">
        <v>1527</v>
      </c>
      <c r="B12" s="182"/>
      <c r="C12" s="1614"/>
      <c r="D12" s="1614"/>
      <c r="E12" s="1634"/>
      <c r="F12" s="1618"/>
      <c r="G12" s="1618"/>
      <c r="H12" s="1634"/>
      <c r="I12" s="1614"/>
      <c r="J12" s="1634"/>
      <c r="K12" s="1634"/>
      <c r="L12" s="370"/>
    </row>
    <row r="13" spans="1:12" ht="11.25" customHeight="1" x14ac:dyDescent="0.25">
      <c r="A13" s="265" t="s">
        <v>764</v>
      </c>
      <c r="B13" s="182"/>
      <c r="C13" s="267">
        <f t="shared" ref="C13:K13" si="1">SUM(C6:C12)</f>
        <v>18517173</v>
      </c>
      <c r="D13" s="213">
        <f t="shared" si="1"/>
        <v>20568839</v>
      </c>
      <c r="E13" s="214">
        <f t="shared" si="1"/>
        <v>18152087.149999999</v>
      </c>
      <c r="F13" s="215">
        <f t="shared" si="1"/>
        <v>34000000.359999992</v>
      </c>
      <c r="G13" s="213">
        <f t="shared" si="1"/>
        <v>34000000.359999992</v>
      </c>
      <c r="H13" s="214">
        <f t="shared" si="1"/>
        <v>34000000.359999992</v>
      </c>
      <c r="I13" s="212">
        <f t="shared" si="1"/>
        <v>34017000.359999992</v>
      </c>
      <c r="J13" s="213">
        <f t="shared" si="1"/>
        <v>35683833.359999992</v>
      </c>
      <c r="K13" s="214">
        <f t="shared" si="1"/>
        <v>37642000</v>
      </c>
      <c r="L13" s="370"/>
    </row>
    <row r="14" spans="1:12" ht="11.25" customHeight="1" x14ac:dyDescent="0.25">
      <c r="A14" s="373" t="s">
        <v>925</v>
      </c>
      <c r="B14" s="182">
        <v>4</v>
      </c>
      <c r="C14" s="822"/>
      <c r="D14" s="823">
        <f>IF(ISERROR((D13/C13)-1),0,((D13/C13)-1))</f>
        <v>0.11079801436212744</v>
      </c>
      <c r="E14" s="858">
        <f t="shared" ref="E14:K14" si="2">IF(ISERROR((E13/D13)-1),0,((E13/D13)-1))</f>
        <v>-0.11749578330599997</v>
      </c>
      <c r="F14" s="1184">
        <f t="shared" si="2"/>
        <v>0.87306286483976003</v>
      </c>
      <c r="G14" s="823">
        <f t="shared" si="2"/>
        <v>0</v>
      </c>
      <c r="H14" s="858">
        <f t="shared" si="2"/>
        <v>0</v>
      </c>
      <c r="I14" s="1184">
        <f t="shared" si="2"/>
        <v>4.9999999470595746E-4</v>
      </c>
      <c r="J14" s="823">
        <f t="shared" si="2"/>
        <v>4.8999999481435852E-2</v>
      </c>
      <c r="K14" s="858">
        <f t="shared" si="2"/>
        <v>5.4875456351475504E-2</v>
      </c>
      <c r="L14" s="370"/>
    </row>
    <row r="15" spans="1:12" ht="5.15" customHeight="1" x14ac:dyDescent="0.25">
      <c r="A15" s="273"/>
      <c r="B15" s="182"/>
      <c r="C15" s="517"/>
      <c r="D15" s="403"/>
      <c r="E15" s="195"/>
      <c r="F15" s="400"/>
      <c r="G15" s="403"/>
      <c r="H15" s="195"/>
      <c r="I15" s="309"/>
      <c r="J15" s="403"/>
      <c r="K15" s="195"/>
      <c r="L15" s="370"/>
    </row>
    <row r="16" spans="1:12" ht="11.25" customHeight="1" x14ac:dyDescent="0.25">
      <c r="A16" s="249" t="s">
        <v>1300</v>
      </c>
      <c r="B16" s="182">
        <v>2</v>
      </c>
      <c r="C16" s="207"/>
      <c r="D16" s="203"/>
      <c r="E16" s="204"/>
      <c r="F16" s="205"/>
      <c r="G16" s="203"/>
      <c r="H16" s="204"/>
      <c r="I16" s="202"/>
      <c r="J16" s="203"/>
      <c r="K16" s="204"/>
      <c r="L16" s="370"/>
    </row>
    <row r="17" spans="1:12" ht="11.25" customHeight="1" x14ac:dyDescent="0.25">
      <c r="A17" s="190" t="s">
        <v>1301</v>
      </c>
      <c r="B17" s="182"/>
      <c r="C17" s="1614">
        <v>5172804</v>
      </c>
      <c r="D17" s="1614">
        <v>4651086</v>
      </c>
      <c r="E17" s="1634">
        <v>495152.57</v>
      </c>
      <c r="F17" s="1618">
        <v>831863.64</v>
      </c>
      <c r="G17" s="1618">
        <v>17037000</v>
      </c>
      <c r="H17" s="1634">
        <f>F17+G17</f>
        <v>17868863.640000001</v>
      </c>
      <c r="I17" s="1614">
        <v>890094.09480000008</v>
      </c>
      <c r="J17" s="1634">
        <v>952400.68143600016</v>
      </c>
      <c r="K17" s="1634">
        <v>1004000</v>
      </c>
      <c r="L17" s="370"/>
    </row>
    <row r="18" spans="1:12" ht="11.25" customHeight="1" x14ac:dyDescent="0.25">
      <c r="A18" s="190" t="s">
        <v>2054</v>
      </c>
      <c r="B18" s="182"/>
      <c r="C18" s="1614"/>
      <c r="D18" s="1614">
        <v>401837</v>
      </c>
      <c r="E18" s="1634">
        <v>92147.55</v>
      </c>
      <c r="F18" s="1618">
        <v>151232.76</v>
      </c>
      <c r="G18" s="1618">
        <v>2037000</v>
      </c>
      <c r="H18" s="1634">
        <f>G18</f>
        <v>2037000</v>
      </c>
      <c r="I18" s="1614">
        <v>161819.05320000002</v>
      </c>
      <c r="J18" s="1634">
        <v>173146.38692400005</v>
      </c>
      <c r="K18" s="1634">
        <v>182000</v>
      </c>
      <c r="L18" s="370"/>
    </row>
    <row r="19" spans="1:12" ht="11.25" customHeight="1" x14ac:dyDescent="0.25">
      <c r="A19" s="190" t="s">
        <v>763</v>
      </c>
      <c r="B19" s="182"/>
      <c r="C19" s="1614"/>
      <c r="D19" s="1614">
        <v>48844</v>
      </c>
      <c r="E19" s="1634">
        <v>17442</v>
      </c>
      <c r="F19" s="1618"/>
      <c r="G19" s="1053">
        <v>794157.6</v>
      </c>
      <c r="H19" s="1634">
        <f>G19</f>
        <v>794157.6</v>
      </c>
      <c r="I19" s="1614">
        <v>0</v>
      </c>
      <c r="J19" s="1634">
        <v>0</v>
      </c>
      <c r="K19" s="1634">
        <v>0</v>
      </c>
      <c r="L19" s="370"/>
    </row>
    <row r="20" spans="1:12" ht="11.25" customHeight="1" x14ac:dyDescent="0.25">
      <c r="A20" s="190" t="s">
        <v>1089</v>
      </c>
      <c r="B20" s="182"/>
      <c r="C20" s="1614">
        <v>705351</v>
      </c>
      <c r="D20" s="1614">
        <v>511439</v>
      </c>
      <c r="E20" s="1634"/>
      <c r="F20" s="1618"/>
      <c r="G20" s="1618"/>
      <c r="H20" s="1634"/>
      <c r="I20" s="1614">
        <v>0</v>
      </c>
      <c r="J20" s="1634">
        <v>0</v>
      </c>
      <c r="K20" s="1634">
        <v>0</v>
      </c>
      <c r="L20" s="370"/>
    </row>
    <row r="21" spans="1:12" ht="11.25" customHeight="1" x14ac:dyDescent="0.25">
      <c r="A21" s="190" t="s">
        <v>765</v>
      </c>
      <c r="B21" s="182"/>
      <c r="C21" s="1614"/>
      <c r="D21" s="1614"/>
      <c r="E21" s="1634">
        <v>41803.71</v>
      </c>
      <c r="F21" s="1618"/>
      <c r="G21" s="1618"/>
      <c r="H21" s="1634"/>
      <c r="I21" s="1614">
        <v>0</v>
      </c>
      <c r="J21" s="1634">
        <v>0</v>
      </c>
      <c r="K21" s="1634">
        <v>0</v>
      </c>
      <c r="L21" s="370"/>
    </row>
    <row r="22" spans="1:12" ht="11.25" customHeight="1" x14ac:dyDescent="0.25">
      <c r="A22" s="190" t="s">
        <v>2209</v>
      </c>
      <c r="B22" s="182">
        <v>3</v>
      </c>
      <c r="C22" s="1614"/>
      <c r="D22" s="1614"/>
      <c r="E22" s="1634">
        <v>151479</v>
      </c>
      <c r="F22" s="1618">
        <v>180237.36</v>
      </c>
      <c r="G22" s="1618">
        <v>4088000</v>
      </c>
      <c r="H22" s="1634">
        <f>G22</f>
        <v>4088000</v>
      </c>
      <c r="I22" s="1614">
        <v>192853.97519999999</v>
      </c>
      <c r="J22" s="1634">
        <v>206353.75346400001</v>
      </c>
      <c r="K22" s="1634">
        <v>217000</v>
      </c>
      <c r="L22" s="370"/>
    </row>
    <row r="23" spans="1:12" ht="11.25" customHeight="1" x14ac:dyDescent="0.25">
      <c r="A23" s="190" t="s">
        <v>2055</v>
      </c>
      <c r="B23" s="182">
        <v>3</v>
      </c>
      <c r="C23" s="1614">
        <v>437671</v>
      </c>
      <c r="D23" s="1614">
        <v>0</v>
      </c>
      <c r="E23" s="1634"/>
      <c r="F23" s="1618">
        <v>18000</v>
      </c>
      <c r="G23" s="1618">
        <v>255000</v>
      </c>
      <c r="H23" s="1634">
        <f>F23+G23</f>
        <v>273000</v>
      </c>
      <c r="I23" s="1614">
        <v>19260</v>
      </c>
      <c r="J23" s="1634">
        <v>20608.2</v>
      </c>
      <c r="K23" s="1634">
        <v>22000</v>
      </c>
      <c r="L23" s="370"/>
    </row>
    <row r="24" spans="1:12" ht="11.25" customHeight="1" x14ac:dyDescent="0.25">
      <c r="A24" s="190" t="s">
        <v>2210</v>
      </c>
      <c r="B24" s="182">
        <v>3</v>
      </c>
      <c r="C24" s="1614"/>
      <c r="D24" s="1614"/>
      <c r="E24" s="1634"/>
      <c r="F24" s="1618"/>
      <c r="G24" s="1618">
        <v>80000</v>
      </c>
      <c r="H24" s="1634">
        <f>G24</f>
        <v>80000</v>
      </c>
      <c r="I24" s="1614"/>
      <c r="J24" s="1634"/>
      <c r="K24" s="1634"/>
      <c r="L24" s="370"/>
    </row>
    <row r="25" spans="1:12" ht="11.25" customHeight="1" x14ac:dyDescent="0.25">
      <c r="A25" s="190" t="s">
        <v>1527</v>
      </c>
      <c r="B25" s="182">
        <v>3</v>
      </c>
      <c r="C25" s="1614"/>
      <c r="D25" s="1614"/>
      <c r="E25" s="1634"/>
      <c r="F25" s="1618"/>
      <c r="G25" s="1618"/>
      <c r="H25" s="1634"/>
      <c r="I25" s="1614"/>
      <c r="J25" s="1634"/>
      <c r="K25" s="1634"/>
      <c r="L25" s="370"/>
    </row>
    <row r="26" spans="1:12" ht="11.25" customHeight="1" x14ac:dyDescent="0.25">
      <c r="A26" s="190" t="s">
        <v>1657</v>
      </c>
      <c r="B26" s="182"/>
      <c r="C26" s="1614"/>
      <c r="D26" s="1614"/>
      <c r="E26" s="1634"/>
      <c r="F26" s="1618"/>
      <c r="G26" s="1618"/>
      <c r="H26" s="1634"/>
      <c r="I26" s="1614"/>
      <c r="J26" s="1634"/>
      <c r="K26" s="1634"/>
      <c r="L26" s="370"/>
    </row>
    <row r="27" spans="1:12" ht="11.25" customHeight="1" x14ac:dyDescent="0.25">
      <c r="A27" s="190" t="s">
        <v>1090</v>
      </c>
      <c r="B27" s="182"/>
      <c r="C27" s="1614"/>
      <c r="D27" s="1614"/>
      <c r="E27" s="1634"/>
      <c r="F27" s="1618"/>
      <c r="G27" s="1618"/>
      <c r="H27" s="1634"/>
      <c r="I27" s="1614"/>
      <c r="J27" s="1634"/>
      <c r="K27" s="1634"/>
      <c r="L27" s="370"/>
    </row>
    <row r="28" spans="1:12" ht="11.25" customHeight="1" x14ac:dyDescent="0.25">
      <c r="A28" s="190" t="s">
        <v>1658</v>
      </c>
      <c r="B28" s="182">
        <v>6</v>
      </c>
      <c r="C28" s="1614"/>
      <c r="D28" s="1614"/>
      <c r="E28" s="1634"/>
      <c r="F28" s="1618"/>
      <c r="G28" s="1618"/>
      <c r="H28" s="1634"/>
      <c r="I28" s="1614"/>
      <c r="J28" s="1634"/>
      <c r="K28" s="1634"/>
      <c r="L28" s="370"/>
    </row>
    <row r="29" spans="1:12" ht="11.25" customHeight="1" x14ac:dyDescent="0.25">
      <c r="A29" s="265" t="s">
        <v>766</v>
      </c>
      <c r="B29" s="182"/>
      <c r="C29" s="267">
        <f>SUM(C17:C28)</f>
        <v>6315826</v>
      </c>
      <c r="D29" s="213">
        <f t="shared" ref="D29:K29" si="3">SUM(D17:D28)</f>
        <v>5613206</v>
      </c>
      <c r="E29" s="214">
        <f t="shared" si="3"/>
        <v>798024.83</v>
      </c>
      <c r="F29" s="215">
        <f t="shared" si="3"/>
        <v>1181333.76</v>
      </c>
      <c r="G29" s="213">
        <f t="shared" si="3"/>
        <v>24291157.600000001</v>
      </c>
      <c r="H29" s="214">
        <f t="shared" si="3"/>
        <v>25141021.240000002</v>
      </c>
      <c r="I29" s="212">
        <f t="shared" si="3"/>
        <v>1264027.1232</v>
      </c>
      <c r="J29" s="213">
        <f t="shared" si="3"/>
        <v>1352509.0218240002</v>
      </c>
      <c r="K29" s="214">
        <f t="shared" si="3"/>
        <v>1425000</v>
      </c>
      <c r="L29" s="370"/>
    </row>
    <row r="30" spans="1:12" ht="11.25" customHeight="1" x14ac:dyDescent="0.25">
      <c r="A30" s="373" t="str">
        <f>$A$14</f>
        <v>% increase</v>
      </c>
      <c r="B30" s="182">
        <f>$B$14</f>
        <v>4</v>
      </c>
      <c r="C30" s="822"/>
      <c r="D30" s="823">
        <f>IF(ISERROR((D29/C29)-1),0,((D29/C29)-1))</f>
        <v>-0.11124752328515697</v>
      </c>
      <c r="E30" s="824">
        <f t="shared" ref="E30:K30" si="4">IF(ISERROR((E29/D29)-1),0,((E29/D29)-1))</f>
        <v>-0.85783083143572503</v>
      </c>
      <c r="F30" s="825">
        <f t="shared" si="4"/>
        <v>0.48032205965320651</v>
      </c>
      <c r="G30" s="823">
        <f t="shared" si="4"/>
        <v>19.562484898425321</v>
      </c>
      <c r="H30" s="824">
        <f t="shared" si="4"/>
        <v>3.4986543416111182E-2</v>
      </c>
      <c r="I30" s="826">
        <f t="shared" si="4"/>
        <v>-0.94972252275938174</v>
      </c>
      <c r="J30" s="823">
        <f t="shared" si="4"/>
        <v>7.0000000000000062E-2</v>
      </c>
      <c r="K30" s="824">
        <f t="shared" si="4"/>
        <v>5.3597408228921228E-2</v>
      </c>
      <c r="L30" s="370"/>
    </row>
    <row r="31" spans="1:12" ht="5.15" customHeight="1" x14ac:dyDescent="0.25">
      <c r="A31" s="273"/>
      <c r="B31" s="182"/>
      <c r="C31" s="517"/>
      <c r="D31" s="403"/>
      <c r="E31" s="195"/>
      <c r="F31" s="400"/>
      <c r="G31" s="403"/>
      <c r="H31" s="195"/>
      <c r="I31" s="309"/>
      <c r="J31" s="403"/>
      <c r="K31" s="195"/>
      <c r="L31" s="370"/>
    </row>
    <row r="32" spans="1:12" ht="11.25" customHeight="1" x14ac:dyDescent="0.25">
      <c r="A32" s="249" t="s">
        <v>767</v>
      </c>
      <c r="B32" s="182"/>
      <c r="C32" s="207"/>
      <c r="D32" s="203"/>
      <c r="E32" s="204"/>
      <c r="F32" s="205"/>
      <c r="G32" s="203"/>
      <c r="H32" s="204"/>
      <c r="I32" s="202"/>
      <c r="J32" s="203"/>
      <c r="K32" s="204"/>
      <c r="L32" s="370"/>
    </row>
    <row r="33" spans="1:15" ht="11.25" customHeight="1" x14ac:dyDescent="0.25">
      <c r="A33" s="250" t="s">
        <v>1301</v>
      </c>
      <c r="B33" s="182"/>
      <c r="C33" s="1614">
        <v>352379666</v>
      </c>
      <c r="D33" s="1614">
        <v>427607755</v>
      </c>
      <c r="E33" s="1634">
        <v>418916132.60000002</v>
      </c>
      <c r="F33" s="1618">
        <v>519525720.4612</v>
      </c>
      <c r="G33" s="1618">
        <v>-30109000</v>
      </c>
      <c r="H33" s="1634">
        <f>F33+G33</f>
        <v>489416720.4612</v>
      </c>
      <c r="I33" s="1614">
        <f>563167124-I17-I23</f>
        <v>562257769.9052</v>
      </c>
      <c r="J33" s="1634">
        <f>613852165-J17-J23</f>
        <v>612879156.11856401</v>
      </c>
      <c r="K33" s="1634">
        <v>646587000</v>
      </c>
      <c r="L33" s="370"/>
    </row>
    <row r="34" spans="1:15" ht="11.25" customHeight="1" x14ac:dyDescent="0.25">
      <c r="A34" s="250" t="s">
        <v>2054</v>
      </c>
      <c r="B34" s="182"/>
      <c r="C34" s="1614">
        <v>64456656</v>
      </c>
      <c r="D34" s="1614">
        <v>80872302</v>
      </c>
      <c r="E34" s="1634">
        <v>85741214.640000001</v>
      </c>
      <c r="F34" s="1618">
        <v>91114466.27743499</v>
      </c>
      <c r="G34" s="1618">
        <v>7914000</v>
      </c>
      <c r="H34" s="1634">
        <f>F34+G34</f>
        <v>99028466.27743499</v>
      </c>
      <c r="I34" s="1614">
        <f>97839958-I18</f>
        <v>97678138.946799994</v>
      </c>
      <c r="J34" s="1634">
        <f>106645554-J18</f>
        <v>106472407.613076</v>
      </c>
      <c r="K34" s="1634">
        <v>112327000</v>
      </c>
      <c r="L34" s="370"/>
    </row>
    <row r="35" spans="1:15" ht="11.25" customHeight="1" x14ac:dyDescent="0.25">
      <c r="A35" s="250" t="s">
        <v>763</v>
      </c>
      <c r="B35" s="182"/>
      <c r="C35" s="1614">
        <v>23682988</v>
      </c>
      <c r="D35" s="1614">
        <v>25099811</v>
      </c>
      <c r="E35" s="1634">
        <v>28998245.16</v>
      </c>
      <c r="F35" s="1618">
        <v>32720112.627764992</v>
      </c>
      <c r="G35" s="1618">
        <v>-649000</v>
      </c>
      <c r="H35" s="1634">
        <f>F35+G35</f>
        <v>32071112.627764992</v>
      </c>
      <c r="I35" s="1614">
        <v>38394280</v>
      </c>
      <c r="J35" s="1634">
        <v>41849766</v>
      </c>
      <c r="K35" s="1634">
        <v>44151000</v>
      </c>
      <c r="L35" s="370"/>
    </row>
    <row r="36" spans="1:15" ht="11.25" customHeight="1" x14ac:dyDescent="0.25">
      <c r="A36" s="250" t="s">
        <v>1089</v>
      </c>
      <c r="B36" s="182"/>
      <c r="C36" s="1614">
        <v>4205833</v>
      </c>
      <c r="D36" s="1614">
        <v>8404273</v>
      </c>
      <c r="E36" s="1634">
        <v>25060833.02</v>
      </c>
      <c r="F36" s="1618">
        <v>19375376.246117998</v>
      </c>
      <c r="G36" s="1618">
        <v>7295000</v>
      </c>
      <c r="H36" s="1634">
        <f>F36+G36</f>
        <v>26670376.246117998</v>
      </c>
      <c r="I36" s="1614">
        <v>20925406</v>
      </c>
      <c r="J36" s="1634">
        <v>22808693</v>
      </c>
      <c r="K36" s="1634">
        <v>24063000</v>
      </c>
      <c r="L36" s="370"/>
    </row>
    <row r="37" spans="1:15" ht="11.25" customHeight="1" x14ac:dyDescent="0.25">
      <c r="A37" s="250" t="s">
        <v>765</v>
      </c>
      <c r="B37" s="182"/>
      <c r="C37" s="1614">
        <v>4770274</v>
      </c>
      <c r="D37" s="1614">
        <v>6948163</v>
      </c>
      <c r="E37" s="1634"/>
      <c r="F37" s="1618"/>
      <c r="G37" s="1618"/>
      <c r="H37" s="1634"/>
      <c r="I37" s="1614"/>
      <c r="J37" s="1634"/>
      <c r="K37" s="1634"/>
      <c r="L37" s="370"/>
    </row>
    <row r="38" spans="1:15" ht="11.25" customHeight="1" x14ac:dyDescent="0.25">
      <c r="A38" s="250" t="s">
        <v>2209</v>
      </c>
      <c r="B38" s="182">
        <v>3</v>
      </c>
      <c r="C38" s="1614">
        <v>33538312</v>
      </c>
      <c r="D38" s="1614">
        <v>33538311</v>
      </c>
      <c r="E38" s="1634">
        <v>10859007.41</v>
      </c>
      <c r="F38" s="1618">
        <v>14009068.751600001</v>
      </c>
      <c r="G38" s="1618">
        <v>7016000</v>
      </c>
      <c r="H38" s="1634">
        <f>F38+G38</f>
        <v>21025068.751600001</v>
      </c>
      <c r="I38" s="1614">
        <f>11833397-I22</f>
        <v>11640543.024800001</v>
      </c>
      <c r="J38" s="1634">
        <f>12898402-J22</f>
        <v>12692048.246536</v>
      </c>
      <c r="K38" s="1634">
        <v>13390000</v>
      </c>
      <c r="L38" s="370"/>
    </row>
    <row r="39" spans="1:15" ht="11.25" customHeight="1" x14ac:dyDescent="0.25">
      <c r="A39" s="250" t="s">
        <v>2055</v>
      </c>
      <c r="B39" s="182">
        <v>3</v>
      </c>
      <c r="C39" s="1614"/>
      <c r="D39" s="1614"/>
      <c r="E39" s="1634">
        <v>799885.7</v>
      </c>
      <c r="F39" s="1618"/>
      <c r="G39" s="1618"/>
      <c r="H39" s="1634">
        <f>G39</f>
        <v>0</v>
      </c>
      <c r="I39" s="1614"/>
      <c r="J39" s="1634"/>
      <c r="K39" s="1634"/>
      <c r="L39" s="370"/>
      <c r="O39" s="370"/>
    </row>
    <row r="40" spans="1:15" ht="11.25" customHeight="1" x14ac:dyDescent="0.25">
      <c r="A40" s="250" t="s">
        <v>2210</v>
      </c>
      <c r="B40" s="182">
        <v>3</v>
      </c>
      <c r="C40" s="1614">
        <v>32770741</v>
      </c>
      <c r="D40" s="1614">
        <v>23444425</v>
      </c>
      <c r="E40" s="1634">
        <v>4188972.25</v>
      </c>
      <c r="F40" s="1618">
        <v>3972108</v>
      </c>
      <c r="G40" s="1618">
        <v>-485000</v>
      </c>
      <c r="H40" s="1634">
        <f>F40+G40</f>
        <v>3487108</v>
      </c>
      <c r="I40" s="1614">
        <v>4289877</v>
      </c>
      <c r="J40" s="1634">
        <v>4675966</v>
      </c>
      <c r="K40" s="1634">
        <v>4933000</v>
      </c>
      <c r="L40" s="370"/>
      <c r="O40" s="370"/>
    </row>
    <row r="41" spans="1:15" ht="11.25" customHeight="1" x14ac:dyDescent="0.25">
      <c r="A41" s="250" t="s">
        <v>1527</v>
      </c>
      <c r="B41" s="182">
        <v>3</v>
      </c>
      <c r="C41" s="1614"/>
      <c r="D41" s="1614"/>
      <c r="E41" s="1634">
        <v>27398163.350000001</v>
      </c>
      <c r="F41" s="1618">
        <v>14747324</v>
      </c>
      <c r="G41" s="1618">
        <v>2794000</v>
      </c>
      <c r="H41" s="1634">
        <f>F41+G41</f>
        <v>17541324</v>
      </c>
      <c r="I41" s="1614">
        <v>15927109</v>
      </c>
      <c r="J41" s="1634">
        <v>17360549</v>
      </c>
      <c r="K41" s="1634">
        <v>18315000</v>
      </c>
      <c r="L41" s="370"/>
      <c r="O41" s="370"/>
    </row>
    <row r="42" spans="1:15" ht="11.25" customHeight="1" x14ac:dyDescent="0.25">
      <c r="A42" s="250" t="s">
        <v>1657</v>
      </c>
      <c r="B42" s="182"/>
      <c r="C42" s="1614"/>
      <c r="D42" s="1614"/>
      <c r="E42" s="1634"/>
      <c r="F42" s="1618"/>
      <c r="G42" s="1618"/>
      <c r="H42" s="1634"/>
      <c r="I42" s="1614"/>
      <c r="J42" s="1634"/>
      <c r="K42" s="1634"/>
      <c r="L42" s="370"/>
    </row>
    <row r="43" spans="1:15" ht="11.25" customHeight="1" x14ac:dyDescent="0.25">
      <c r="A43" s="250" t="s">
        <v>1090</v>
      </c>
      <c r="B43" s="182"/>
      <c r="C43" s="1614"/>
      <c r="D43" s="1614"/>
      <c r="E43" s="1634">
        <v>14936410.6</v>
      </c>
      <c r="F43" s="1618">
        <v>16769804</v>
      </c>
      <c r="G43" s="1618">
        <v>446000</v>
      </c>
      <c r="H43" s="1634">
        <f>F43+G43</f>
        <v>17215804</v>
      </c>
      <c r="I43" s="1614">
        <v>18111388</v>
      </c>
      <c r="J43" s="1634">
        <v>19741413</v>
      </c>
      <c r="K43" s="1634">
        <v>20826000</v>
      </c>
      <c r="L43" s="370"/>
    </row>
    <row r="44" spans="1:15" ht="11.25" customHeight="1" x14ac:dyDescent="0.25">
      <c r="A44" s="250" t="s">
        <v>1658</v>
      </c>
      <c r="B44" s="182">
        <v>6</v>
      </c>
      <c r="C44" s="1614"/>
      <c r="D44" s="1614"/>
      <c r="E44" s="1634"/>
      <c r="F44" s="1618"/>
      <c r="G44" s="1614"/>
      <c r="H44" s="1634"/>
      <c r="I44" s="1614"/>
      <c r="J44" s="1634"/>
      <c r="K44" s="1634"/>
      <c r="L44" s="370"/>
    </row>
    <row r="45" spans="1:15" ht="11.25" customHeight="1" x14ac:dyDescent="0.25">
      <c r="A45" s="265" t="s">
        <v>1801</v>
      </c>
      <c r="B45" s="182"/>
      <c r="C45" s="213">
        <f t="shared" ref="C45:K45" si="5">SUM(C33:C44)</f>
        <v>515804470</v>
      </c>
      <c r="D45" s="213">
        <f t="shared" si="5"/>
        <v>605915040</v>
      </c>
      <c r="E45" s="214">
        <f t="shared" si="5"/>
        <v>616898864.73000014</v>
      </c>
      <c r="F45" s="215">
        <f t="shared" si="5"/>
        <v>712233980.36411786</v>
      </c>
      <c r="G45" s="213">
        <f t="shared" si="5"/>
        <v>-5778000</v>
      </c>
      <c r="H45" s="214">
        <f t="shared" si="5"/>
        <v>706455980.36411786</v>
      </c>
      <c r="I45" s="212">
        <f t="shared" si="5"/>
        <v>769224511.87679994</v>
      </c>
      <c r="J45" s="213">
        <f t="shared" si="5"/>
        <v>838479998.978176</v>
      </c>
      <c r="K45" s="214">
        <f t="shared" si="5"/>
        <v>884592000</v>
      </c>
      <c r="L45" s="370"/>
    </row>
    <row r="46" spans="1:15" ht="11.25" customHeight="1" x14ac:dyDescent="0.25">
      <c r="A46" s="373" t="str">
        <f>$A$14</f>
        <v>% increase</v>
      </c>
      <c r="B46" s="182">
        <f>$B$14</f>
        <v>4</v>
      </c>
      <c r="C46" s="827"/>
      <c r="D46" s="823">
        <f>IF(ISERROR((D45/C45)-1),0,((D45/C45)-1))</f>
        <v>0.17469908703970716</v>
      </c>
      <c r="E46" s="824">
        <f t="shared" ref="E46:K46" si="6">IF(ISERROR((E45/D45)-1),0,((E45/D45)-1))</f>
        <v>1.8127664779537644E-2</v>
      </c>
      <c r="F46" s="825">
        <f t="shared" si="6"/>
        <v>0.15453929498775021</v>
      </c>
      <c r="G46" s="823">
        <f t="shared" si="6"/>
        <v>-1.0081125025754123</v>
      </c>
      <c r="H46" s="824">
        <f t="shared" si="6"/>
        <v>-123.26652481206609</v>
      </c>
      <c r="I46" s="826">
        <f t="shared" si="6"/>
        <v>8.8849883442603472E-2</v>
      </c>
      <c r="J46" s="823">
        <f t="shared" si="6"/>
        <v>9.0032865609550594E-2</v>
      </c>
      <c r="K46" s="824">
        <f t="shared" si="6"/>
        <v>5.4994753694803666E-2</v>
      </c>
      <c r="L46" s="370"/>
    </row>
    <row r="47" spans="1:15" ht="5.15" customHeight="1" x14ac:dyDescent="0.25">
      <c r="A47" s="273"/>
      <c r="B47" s="182"/>
      <c r="C47" s="403"/>
      <c r="D47" s="403"/>
      <c r="E47" s="195"/>
      <c r="F47" s="400"/>
      <c r="G47" s="403"/>
      <c r="H47" s="195"/>
      <c r="I47" s="309"/>
      <c r="J47" s="403"/>
      <c r="K47" s="195"/>
      <c r="L47" s="370"/>
    </row>
    <row r="48" spans="1:15" ht="11.25" customHeight="1" x14ac:dyDescent="0.25">
      <c r="A48" s="797" t="s">
        <v>1547</v>
      </c>
      <c r="B48" s="798"/>
      <c r="C48" s="276">
        <f t="shared" ref="C48:K48" si="7">C13+C29+C45</f>
        <v>540637469</v>
      </c>
      <c r="D48" s="276">
        <f t="shared" si="7"/>
        <v>632097085</v>
      </c>
      <c r="E48" s="277">
        <f t="shared" si="7"/>
        <v>635848976.71000016</v>
      </c>
      <c r="F48" s="278">
        <f t="shared" si="7"/>
        <v>747415314.48411787</v>
      </c>
      <c r="G48" s="276">
        <f t="shared" si="7"/>
        <v>52513157.959999993</v>
      </c>
      <c r="H48" s="277">
        <f t="shared" si="7"/>
        <v>765597001.96411788</v>
      </c>
      <c r="I48" s="275">
        <f t="shared" si="7"/>
        <v>804505539.3599999</v>
      </c>
      <c r="J48" s="276">
        <f t="shared" si="7"/>
        <v>875516341.36000001</v>
      </c>
      <c r="K48" s="277">
        <f t="shared" si="7"/>
        <v>923659000</v>
      </c>
      <c r="L48" s="370"/>
    </row>
    <row r="49" spans="1:12" ht="11.25" customHeight="1" x14ac:dyDescent="0.25">
      <c r="A49" s="273"/>
      <c r="B49" s="182"/>
      <c r="C49" s="828"/>
      <c r="D49" s="823">
        <f>IF(ISERROR((D48/C48)-1),0,((D48/C48)-1))</f>
        <v>0.16916995444131899</v>
      </c>
      <c r="E49" s="824">
        <f t="shared" ref="E49:K49" si="8">IF(ISERROR((E48/D48)-1),0,((E48/D48)-1))</f>
        <v>5.935625711674053E-3</v>
      </c>
      <c r="F49" s="825">
        <f t="shared" si="8"/>
        <v>0.17546043456951455</v>
      </c>
      <c r="G49" s="823">
        <f t="shared" si="8"/>
        <v>-0.92974032383020444</v>
      </c>
      <c r="H49" s="824">
        <f t="shared" si="8"/>
        <v>13.579146097960512</v>
      </c>
      <c r="I49" s="826">
        <f t="shared" si="8"/>
        <v>5.0821172622232291E-2</v>
      </c>
      <c r="J49" s="823">
        <f t="shared" si="8"/>
        <v>8.8266392865971488E-2</v>
      </c>
      <c r="K49" s="824">
        <f t="shared" si="8"/>
        <v>5.4987732799157918E-2</v>
      </c>
      <c r="L49" s="370"/>
    </row>
    <row r="50" spans="1:12" ht="5.15" customHeight="1" x14ac:dyDescent="0.25">
      <c r="A50" s="273"/>
      <c r="B50" s="182"/>
      <c r="C50" s="403"/>
      <c r="D50" s="829"/>
      <c r="E50" s="830"/>
      <c r="F50" s="831"/>
      <c r="G50" s="829"/>
      <c r="H50" s="830"/>
      <c r="I50" s="832"/>
      <c r="J50" s="829"/>
      <c r="K50" s="830"/>
      <c r="L50" s="370"/>
    </row>
    <row r="51" spans="1:12" ht="11.25" customHeight="1" x14ac:dyDescent="0.25">
      <c r="A51" s="249" t="s">
        <v>913</v>
      </c>
      <c r="B51" s="182"/>
      <c r="C51" s="203"/>
      <c r="D51" s="203"/>
      <c r="E51" s="204"/>
      <c r="F51" s="205"/>
      <c r="G51" s="203"/>
      <c r="H51" s="204"/>
      <c r="I51" s="202"/>
      <c r="J51" s="203"/>
      <c r="K51" s="204"/>
      <c r="L51" s="370"/>
    </row>
    <row r="52" spans="1:12" ht="11.25" customHeight="1" x14ac:dyDescent="0.25">
      <c r="A52" s="190" t="s">
        <v>1301</v>
      </c>
      <c r="B52" s="182"/>
      <c r="C52" s="1614"/>
      <c r="D52" s="1614"/>
      <c r="E52" s="1634"/>
      <c r="F52" s="1635"/>
      <c r="G52" s="1614"/>
      <c r="H52" s="1634"/>
      <c r="I52" s="1636"/>
      <c r="J52" s="1614"/>
      <c r="K52" s="1634"/>
      <c r="L52" s="370"/>
    </row>
    <row r="53" spans="1:12" ht="11.25" customHeight="1" x14ac:dyDescent="0.25">
      <c r="A53" s="190" t="s">
        <v>2054</v>
      </c>
      <c r="B53" s="182"/>
      <c r="C53" s="1614"/>
      <c r="D53" s="1614"/>
      <c r="E53" s="1634"/>
      <c r="F53" s="1635"/>
      <c r="G53" s="1614"/>
      <c r="H53" s="1634"/>
      <c r="I53" s="1636"/>
      <c r="J53" s="1614"/>
      <c r="K53" s="1634"/>
      <c r="L53" s="370"/>
    </row>
    <row r="54" spans="1:12" ht="11.25" customHeight="1" x14ac:dyDescent="0.25">
      <c r="A54" s="190" t="s">
        <v>763</v>
      </c>
      <c r="B54" s="182"/>
      <c r="C54" s="1614"/>
      <c r="D54" s="1614"/>
      <c r="E54" s="1634"/>
      <c r="F54" s="1635"/>
      <c r="G54" s="1614"/>
      <c r="H54" s="1634"/>
      <c r="I54" s="1636"/>
      <c r="J54" s="1614"/>
      <c r="K54" s="1634"/>
      <c r="L54" s="370"/>
    </row>
    <row r="55" spans="1:12" ht="11.25" customHeight="1" x14ac:dyDescent="0.25">
      <c r="A55" s="190" t="s">
        <v>1089</v>
      </c>
      <c r="B55" s="182"/>
      <c r="C55" s="1614"/>
      <c r="D55" s="1614"/>
      <c r="E55" s="1634"/>
      <c r="F55" s="1635"/>
      <c r="G55" s="1614"/>
      <c r="H55" s="1634"/>
      <c r="I55" s="1636"/>
      <c r="J55" s="1614"/>
      <c r="K55" s="1634"/>
      <c r="L55" s="370"/>
    </row>
    <row r="56" spans="1:12" ht="11.25" customHeight="1" x14ac:dyDescent="0.25">
      <c r="A56" s="190" t="s">
        <v>765</v>
      </c>
      <c r="B56" s="182"/>
      <c r="C56" s="1614"/>
      <c r="D56" s="1614"/>
      <c r="E56" s="1634"/>
      <c r="F56" s="1635"/>
      <c r="G56" s="1614"/>
      <c r="H56" s="1634"/>
      <c r="I56" s="1636"/>
      <c r="J56" s="1614"/>
      <c r="K56" s="1634"/>
      <c r="L56" s="370"/>
    </row>
    <row r="57" spans="1:12" ht="11.25" customHeight="1" x14ac:dyDescent="0.25">
      <c r="A57" s="190" t="s">
        <v>2209</v>
      </c>
      <c r="B57" s="182">
        <v>3</v>
      </c>
      <c r="C57" s="1614"/>
      <c r="D57" s="1614"/>
      <c r="E57" s="1634"/>
      <c r="F57" s="1635"/>
      <c r="G57" s="1614"/>
      <c r="H57" s="1634"/>
      <c r="I57" s="1636"/>
      <c r="J57" s="1614"/>
      <c r="K57" s="1634"/>
      <c r="L57" s="370"/>
    </row>
    <row r="58" spans="1:12" ht="11.25" customHeight="1" x14ac:dyDescent="0.25">
      <c r="A58" s="190" t="s">
        <v>2055</v>
      </c>
      <c r="B58" s="182">
        <v>3</v>
      </c>
      <c r="C58" s="1614"/>
      <c r="D58" s="1614"/>
      <c r="E58" s="1634"/>
      <c r="F58" s="1635"/>
      <c r="G58" s="1614"/>
      <c r="H58" s="1634"/>
      <c r="I58" s="1636"/>
      <c r="J58" s="1614"/>
      <c r="K58" s="1634"/>
      <c r="L58" s="370"/>
    </row>
    <row r="59" spans="1:12" ht="11.25" customHeight="1" x14ac:dyDescent="0.25">
      <c r="A59" s="190" t="s">
        <v>2210</v>
      </c>
      <c r="B59" s="182">
        <v>3</v>
      </c>
      <c r="C59" s="1614"/>
      <c r="D59" s="1614"/>
      <c r="E59" s="1634"/>
      <c r="F59" s="1635"/>
      <c r="G59" s="1614"/>
      <c r="H59" s="1634"/>
      <c r="I59" s="1636"/>
      <c r="J59" s="1614"/>
      <c r="K59" s="1634"/>
      <c r="L59" s="370"/>
    </row>
    <row r="60" spans="1:12" ht="11.25" customHeight="1" x14ac:dyDescent="0.25">
      <c r="A60" s="190" t="s">
        <v>1527</v>
      </c>
      <c r="B60" s="182">
        <v>3</v>
      </c>
      <c r="C60" s="1614"/>
      <c r="D60" s="1614"/>
      <c r="E60" s="1634"/>
      <c r="F60" s="1635"/>
      <c r="G60" s="1614"/>
      <c r="H60" s="1634"/>
      <c r="I60" s="1636"/>
      <c r="J60" s="1614"/>
      <c r="K60" s="1634"/>
      <c r="L60" s="370"/>
    </row>
    <row r="61" spans="1:12" ht="11.25" customHeight="1" x14ac:dyDescent="0.25">
      <c r="A61" s="190" t="s">
        <v>2214</v>
      </c>
      <c r="B61" s="182"/>
      <c r="C61" s="1614"/>
      <c r="D61" s="1614"/>
      <c r="E61" s="1634"/>
      <c r="F61" s="1635"/>
      <c r="G61" s="1614"/>
      <c r="H61" s="1634"/>
      <c r="I61" s="1636"/>
      <c r="J61" s="1614"/>
      <c r="K61" s="1634"/>
      <c r="L61" s="370"/>
    </row>
    <row r="62" spans="1:12" ht="11.25" customHeight="1" x14ac:dyDescent="0.25">
      <c r="A62" s="190" t="s">
        <v>1657</v>
      </c>
      <c r="B62" s="182"/>
      <c r="C62" s="1614"/>
      <c r="D62" s="1614"/>
      <c r="E62" s="1634"/>
      <c r="F62" s="1635"/>
      <c r="G62" s="1614"/>
      <c r="H62" s="1634"/>
      <c r="I62" s="1636"/>
      <c r="J62" s="1614"/>
      <c r="K62" s="1634"/>
      <c r="L62" s="370"/>
    </row>
    <row r="63" spans="1:12" ht="11.25" customHeight="1" x14ac:dyDescent="0.25">
      <c r="A63" s="190" t="s">
        <v>1090</v>
      </c>
      <c r="B63" s="182"/>
      <c r="C63" s="1614"/>
      <c r="D63" s="1614"/>
      <c r="E63" s="1634"/>
      <c r="F63" s="1635"/>
      <c r="G63" s="1614"/>
      <c r="H63" s="1634"/>
      <c r="I63" s="1636"/>
      <c r="J63" s="1614"/>
      <c r="K63" s="1634"/>
      <c r="L63" s="370"/>
    </row>
    <row r="64" spans="1:12" ht="11.25" customHeight="1" x14ac:dyDescent="0.25">
      <c r="A64" s="190" t="s">
        <v>1658</v>
      </c>
      <c r="B64" s="182">
        <v>6</v>
      </c>
      <c r="C64" s="1614"/>
      <c r="D64" s="1614"/>
      <c r="E64" s="1634"/>
      <c r="F64" s="1635"/>
      <c r="G64" s="1614"/>
      <c r="H64" s="1634"/>
      <c r="I64" s="1636"/>
      <c r="J64" s="1614"/>
      <c r="K64" s="1634"/>
      <c r="L64" s="370"/>
    </row>
    <row r="65" spans="1:12" ht="11.25" customHeight="1" x14ac:dyDescent="0.25">
      <c r="A65" s="265" t="s">
        <v>1327</v>
      </c>
      <c r="B65" s="182"/>
      <c r="C65" s="213">
        <f>SUM(C52:C64)</f>
        <v>0</v>
      </c>
      <c r="D65" s="213">
        <f t="shared" ref="D65:K65" si="9">SUM(D52:D64)</f>
        <v>0</v>
      </c>
      <c r="E65" s="214">
        <f t="shared" si="9"/>
        <v>0</v>
      </c>
      <c r="F65" s="215">
        <f t="shared" si="9"/>
        <v>0</v>
      </c>
      <c r="G65" s="213">
        <f t="shared" si="9"/>
        <v>0</v>
      </c>
      <c r="H65" s="214">
        <f t="shared" si="9"/>
        <v>0</v>
      </c>
      <c r="I65" s="212">
        <f t="shared" si="9"/>
        <v>0</v>
      </c>
      <c r="J65" s="213">
        <f t="shared" si="9"/>
        <v>0</v>
      </c>
      <c r="K65" s="214">
        <f t="shared" si="9"/>
        <v>0</v>
      </c>
      <c r="L65" s="370"/>
    </row>
    <row r="66" spans="1:12" ht="11.25" customHeight="1" x14ac:dyDescent="0.25">
      <c r="A66" s="373" t="str">
        <f>$A$14</f>
        <v>% increase</v>
      </c>
      <c r="B66" s="182">
        <f>$B$14</f>
        <v>4</v>
      </c>
      <c r="C66" s="827"/>
      <c r="D66" s="823">
        <f>IF(ISERROR((D65/C65)-1),0,((D65/C65)-1))</f>
        <v>0</v>
      </c>
      <c r="E66" s="824">
        <f t="shared" ref="E66:K66" si="10">IF(ISERROR((E65/D65)-1),0,((E65/D65)-1))</f>
        <v>0</v>
      </c>
      <c r="F66" s="825">
        <f t="shared" si="10"/>
        <v>0</v>
      </c>
      <c r="G66" s="823">
        <f t="shared" si="10"/>
        <v>0</v>
      </c>
      <c r="H66" s="824">
        <f t="shared" si="10"/>
        <v>0</v>
      </c>
      <c r="I66" s="826">
        <f t="shared" si="10"/>
        <v>0</v>
      </c>
      <c r="J66" s="823">
        <f t="shared" si="10"/>
        <v>0</v>
      </c>
      <c r="K66" s="824">
        <f t="shared" si="10"/>
        <v>0</v>
      </c>
      <c r="L66" s="370"/>
    </row>
    <row r="67" spans="1:12" ht="5.15" customHeight="1" x14ac:dyDescent="0.25">
      <c r="A67" s="273"/>
      <c r="B67" s="182"/>
      <c r="C67" s="403"/>
      <c r="D67" s="403"/>
      <c r="E67" s="195"/>
      <c r="F67" s="400"/>
      <c r="G67" s="403"/>
      <c r="H67" s="195"/>
      <c r="I67" s="309"/>
      <c r="J67" s="403"/>
      <c r="K67" s="195"/>
      <c r="L67" s="370"/>
    </row>
    <row r="68" spans="1:12" ht="11.25" customHeight="1" x14ac:dyDescent="0.25">
      <c r="A68" s="249" t="s">
        <v>285</v>
      </c>
      <c r="B68" s="182"/>
      <c r="C68" s="203"/>
      <c r="D68" s="203"/>
      <c r="E68" s="204"/>
      <c r="F68" s="205"/>
      <c r="G68" s="203"/>
      <c r="H68" s="204"/>
      <c r="I68" s="202"/>
      <c r="J68" s="203"/>
      <c r="K68" s="204"/>
      <c r="L68" s="370"/>
    </row>
    <row r="69" spans="1:12" ht="11.25" customHeight="1" x14ac:dyDescent="0.25">
      <c r="A69" s="250" t="s">
        <v>1301</v>
      </c>
      <c r="B69" s="182"/>
      <c r="C69" s="1614"/>
      <c r="D69" s="1614"/>
      <c r="E69" s="1634"/>
      <c r="F69" s="1635"/>
      <c r="G69" s="1614"/>
      <c r="H69" s="1634"/>
      <c r="I69" s="1636"/>
      <c r="J69" s="1614"/>
      <c r="K69" s="1634"/>
      <c r="L69" s="370"/>
    </row>
    <row r="70" spans="1:12" ht="11.25" customHeight="1" x14ac:dyDescent="0.25">
      <c r="A70" s="250" t="s">
        <v>2054</v>
      </c>
      <c r="B70" s="182"/>
      <c r="C70" s="1614"/>
      <c r="D70" s="1614"/>
      <c r="E70" s="1634"/>
      <c r="F70" s="1635"/>
      <c r="G70" s="1614"/>
      <c r="H70" s="1634"/>
      <c r="I70" s="1636"/>
      <c r="J70" s="1614"/>
      <c r="K70" s="1634"/>
      <c r="L70" s="370"/>
    </row>
    <row r="71" spans="1:12" ht="11.25" customHeight="1" x14ac:dyDescent="0.25">
      <c r="A71" s="250" t="s">
        <v>763</v>
      </c>
      <c r="B71" s="182"/>
      <c r="C71" s="1614"/>
      <c r="D71" s="1614"/>
      <c r="E71" s="1634"/>
      <c r="F71" s="1635"/>
      <c r="G71" s="1614"/>
      <c r="H71" s="1634"/>
      <c r="I71" s="1636"/>
      <c r="J71" s="1614"/>
      <c r="K71" s="1634"/>
      <c r="L71" s="370"/>
    </row>
    <row r="72" spans="1:12" ht="11.25" customHeight="1" x14ac:dyDescent="0.25">
      <c r="A72" s="250" t="s">
        <v>1089</v>
      </c>
      <c r="B72" s="182"/>
      <c r="C72" s="1614"/>
      <c r="D72" s="1614"/>
      <c r="E72" s="1634"/>
      <c r="F72" s="1635"/>
      <c r="G72" s="1614"/>
      <c r="H72" s="1634"/>
      <c r="I72" s="1636"/>
      <c r="J72" s="1614"/>
      <c r="K72" s="1634"/>
      <c r="L72" s="370"/>
    </row>
    <row r="73" spans="1:12" ht="11.25" customHeight="1" x14ac:dyDescent="0.25">
      <c r="A73" s="250" t="s">
        <v>765</v>
      </c>
      <c r="B73" s="182"/>
      <c r="C73" s="1614"/>
      <c r="D73" s="1614"/>
      <c r="E73" s="1634"/>
      <c r="F73" s="1635"/>
      <c r="G73" s="1614"/>
      <c r="H73" s="1634"/>
      <c r="I73" s="1636"/>
      <c r="J73" s="1614"/>
      <c r="K73" s="1634"/>
      <c r="L73" s="370"/>
    </row>
    <row r="74" spans="1:12" ht="11.25" customHeight="1" x14ac:dyDescent="0.25">
      <c r="A74" s="250" t="s">
        <v>2209</v>
      </c>
      <c r="B74" s="182">
        <v>3</v>
      </c>
      <c r="C74" s="1614"/>
      <c r="D74" s="1614"/>
      <c r="E74" s="1634"/>
      <c r="F74" s="1635"/>
      <c r="G74" s="1614"/>
      <c r="H74" s="1634"/>
      <c r="I74" s="1636"/>
      <c r="J74" s="1614"/>
      <c r="K74" s="1634"/>
      <c r="L74" s="370"/>
    </row>
    <row r="75" spans="1:12" ht="11.25" customHeight="1" x14ac:dyDescent="0.25">
      <c r="A75" s="250" t="s">
        <v>2055</v>
      </c>
      <c r="B75" s="182">
        <v>3</v>
      </c>
      <c r="C75" s="1614"/>
      <c r="D75" s="1614"/>
      <c r="E75" s="1634"/>
      <c r="F75" s="1635"/>
      <c r="G75" s="1614"/>
      <c r="H75" s="1634"/>
      <c r="I75" s="1636"/>
      <c r="J75" s="1614"/>
      <c r="K75" s="1634"/>
      <c r="L75" s="370"/>
    </row>
    <row r="76" spans="1:12" ht="11.25" customHeight="1" x14ac:dyDescent="0.25">
      <c r="A76" s="250" t="s">
        <v>2210</v>
      </c>
      <c r="B76" s="182">
        <v>3</v>
      </c>
      <c r="C76" s="1614"/>
      <c r="D76" s="1614"/>
      <c r="E76" s="1634"/>
      <c r="F76" s="1635"/>
      <c r="G76" s="1614"/>
      <c r="H76" s="1634"/>
      <c r="I76" s="1636"/>
      <c r="J76" s="1614"/>
      <c r="K76" s="1634"/>
      <c r="L76" s="370"/>
    </row>
    <row r="77" spans="1:12" ht="11.25" customHeight="1" x14ac:dyDescent="0.25">
      <c r="A77" s="250" t="s">
        <v>1527</v>
      </c>
      <c r="B77" s="182">
        <v>3</v>
      </c>
      <c r="C77" s="1614"/>
      <c r="D77" s="1614"/>
      <c r="E77" s="1634"/>
      <c r="F77" s="1635"/>
      <c r="G77" s="1614"/>
      <c r="H77" s="1634"/>
      <c r="I77" s="1636"/>
      <c r="J77" s="1614"/>
      <c r="K77" s="1634"/>
      <c r="L77" s="370"/>
    </row>
    <row r="78" spans="1:12" ht="11.25" customHeight="1" x14ac:dyDescent="0.25">
      <c r="A78" s="250" t="s">
        <v>1657</v>
      </c>
      <c r="B78" s="182"/>
      <c r="C78" s="1614"/>
      <c r="D78" s="1614"/>
      <c r="E78" s="1634"/>
      <c r="F78" s="1635"/>
      <c r="G78" s="1614"/>
      <c r="H78" s="1634"/>
      <c r="I78" s="1636"/>
      <c r="J78" s="1614"/>
      <c r="K78" s="1634"/>
      <c r="L78" s="370"/>
    </row>
    <row r="79" spans="1:12" ht="11.25" customHeight="1" x14ac:dyDescent="0.25">
      <c r="A79" s="250" t="s">
        <v>1090</v>
      </c>
      <c r="B79" s="182"/>
      <c r="C79" s="1614"/>
      <c r="D79" s="1614"/>
      <c r="E79" s="1634"/>
      <c r="F79" s="1635"/>
      <c r="G79" s="1614"/>
      <c r="H79" s="1634"/>
      <c r="I79" s="1636"/>
      <c r="J79" s="1614"/>
      <c r="K79" s="1634"/>
      <c r="L79" s="370"/>
    </row>
    <row r="80" spans="1:12" ht="11.25" customHeight="1" x14ac:dyDescent="0.25">
      <c r="A80" s="250" t="s">
        <v>1658</v>
      </c>
      <c r="B80" s="182">
        <v>6</v>
      </c>
      <c r="C80" s="1614"/>
      <c r="D80" s="1614"/>
      <c r="E80" s="1634"/>
      <c r="F80" s="1635"/>
      <c r="G80" s="1614"/>
      <c r="H80" s="1634"/>
      <c r="I80" s="1636"/>
      <c r="J80" s="1614"/>
      <c r="K80" s="1634"/>
      <c r="L80" s="370"/>
    </row>
    <row r="81" spans="1:12" ht="11.25" customHeight="1" x14ac:dyDescent="0.25">
      <c r="A81" s="265" t="s">
        <v>286</v>
      </c>
      <c r="B81" s="182"/>
      <c r="C81" s="213">
        <f>SUM(C69:C80)</f>
        <v>0</v>
      </c>
      <c r="D81" s="213">
        <f t="shared" ref="D81:K81" si="11">SUM(D69:D80)</f>
        <v>0</v>
      </c>
      <c r="E81" s="214">
        <f t="shared" si="11"/>
        <v>0</v>
      </c>
      <c r="F81" s="215">
        <f t="shared" si="11"/>
        <v>0</v>
      </c>
      <c r="G81" s="213">
        <f t="shared" si="11"/>
        <v>0</v>
      </c>
      <c r="H81" s="214">
        <f t="shared" si="11"/>
        <v>0</v>
      </c>
      <c r="I81" s="212">
        <f t="shared" si="11"/>
        <v>0</v>
      </c>
      <c r="J81" s="213">
        <f t="shared" si="11"/>
        <v>0</v>
      </c>
      <c r="K81" s="214">
        <f t="shared" si="11"/>
        <v>0</v>
      </c>
      <c r="L81" s="370"/>
    </row>
    <row r="82" spans="1:12" ht="11.25" customHeight="1" x14ac:dyDescent="0.25">
      <c r="A82" s="373" t="str">
        <f>$A$14</f>
        <v>% increase</v>
      </c>
      <c r="B82" s="182">
        <f>$B$14</f>
        <v>4</v>
      </c>
      <c r="C82" s="827"/>
      <c r="D82" s="823">
        <f>IF(ISERROR((D81/C81)-1),0,((D81/C81)-1))</f>
        <v>0</v>
      </c>
      <c r="E82" s="824">
        <f t="shared" ref="E82:K82" si="12">IF(ISERROR((E81/D81)-1),0,((E81/D81)-1))</f>
        <v>0</v>
      </c>
      <c r="F82" s="825">
        <f t="shared" si="12"/>
        <v>0</v>
      </c>
      <c r="G82" s="823">
        <f t="shared" si="12"/>
        <v>0</v>
      </c>
      <c r="H82" s="824">
        <f t="shared" si="12"/>
        <v>0</v>
      </c>
      <c r="I82" s="826">
        <f t="shared" si="12"/>
        <v>0</v>
      </c>
      <c r="J82" s="823">
        <f t="shared" si="12"/>
        <v>0</v>
      </c>
      <c r="K82" s="824">
        <f t="shared" si="12"/>
        <v>0</v>
      </c>
      <c r="L82" s="370"/>
    </row>
    <row r="83" spans="1:12" ht="5.15" customHeight="1" x14ac:dyDescent="0.25">
      <c r="A83" s="273"/>
      <c r="B83" s="182"/>
      <c r="C83" s="403"/>
      <c r="D83" s="403"/>
      <c r="E83" s="195"/>
      <c r="F83" s="400"/>
      <c r="G83" s="403"/>
      <c r="H83" s="195"/>
      <c r="I83" s="309"/>
      <c r="J83" s="403"/>
      <c r="K83" s="195"/>
      <c r="L83" s="370"/>
    </row>
    <row r="84" spans="1:12" ht="11.25" customHeight="1" x14ac:dyDescent="0.25">
      <c r="A84" s="249" t="s">
        <v>287</v>
      </c>
      <c r="B84" s="182"/>
      <c r="C84" s="203"/>
      <c r="D84" s="203"/>
      <c r="E84" s="204"/>
      <c r="F84" s="205"/>
      <c r="G84" s="203"/>
      <c r="H84" s="204"/>
      <c r="I84" s="202"/>
      <c r="J84" s="203"/>
      <c r="K84" s="204"/>
      <c r="L84" s="370"/>
    </row>
    <row r="85" spans="1:12" ht="11.25" customHeight="1" x14ac:dyDescent="0.25">
      <c r="A85" s="250" t="s">
        <v>1301</v>
      </c>
      <c r="B85" s="182"/>
      <c r="C85" s="1614"/>
      <c r="D85" s="1614"/>
      <c r="E85" s="1634"/>
      <c r="F85" s="1635"/>
      <c r="G85" s="1614"/>
      <c r="H85" s="1634"/>
      <c r="I85" s="1636"/>
      <c r="J85" s="1614"/>
      <c r="K85" s="1634"/>
      <c r="L85" s="370"/>
    </row>
    <row r="86" spans="1:12" ht="11.25" customHeight="1" x14ac:dyDescent="0.25">
      <c r="A86" s="250" t="s">
        <v>2054</v>
      </c>
      <c r="B86" s="182"/>
      <c r="C86" s="1614"/>
      <c r="D86" s="1614"/>
      <c r="E86" s="1634"/>
      <c r="F86" s="1635"/>
      <c r="G86" s="1614"/>
      <c r="H86" s="1634"/>
      <c r="I86" s="1636"/>
      <c r="J86" s="1614"/>
      <c r="K86" s="1634"/>
      <c r="L86" s="370"/>
    </row>
    <row r="87" spans="1:12" ht="11.25" customHeight="1" x14ac:dyDescent="0.25">
      <c r="A87" s="250" t="s">
        <v>763</v>
      </c>
      <c r="B87" s="182"/>
      <c r="C87" s="1614"/>
      <c r="D87" s="1614"/>
      <c r="E87" s="1634"/>
      <c r="F87" s="1635"/>
      <c r="G87" s="1614"/>
      <c r="H87" s="1634"/>
      <c r="I87" s="1636"/>
      <c r="J87" s="1614"/>
      <c r="K87" s="1634"/>
      <c r="L87" s="370"/>
    </row>
    <row r="88" spans="1:12" ht="11.25" customHeight="1" x14ac:dyDescent="0.25">
      <c r="A88" s="250" t="s">
        <v>1089</v>
      </c>
      <c r="B88" s="182"/>
      <c r="C88" s="1614"/>
      <c r="D88" s="1614"/>
      <c r="E88" s="1634"/>
      <c r="F88" s="1635"/>
      <c r="G88" s="1614"/>
      <c r="H88" s="1634"/>
      <c r="I88" s="1636"/>
      <c r="J88" s="1614"/>
      <c r="K88" s="1634"/>
      <c r="L88" s="370"/>
    </row>
    <row r="89" spans="1:12" ht="11.25" customHeight="1" x14ac:dyDescent="0.25">
      <c r="A89" s="250" t="s">
        <v>765</v>
      </c>
      <c r="B89" s="182"/>
      <c r="C89" s="1614"/>
      <c r="D89" s="1614"/>
      <c r="E89" s="1634"/>
      <c r="F89" s="1635"/>
      <c r="G89" s="1614"/>
      <c r="H89" s="1634"/>
      <c r="I89" s="1636"/>
      <c r="J89" s="1614"/>
      <c r="K89" s="1634"/>
      <c r="L89" s="370"/>
    </row>
    <row r="90" spans="1:12" ht="11.25" customHeight="1" x14ac:dyDescent="0.25">
      <c r="A90" s="250" t="s">
        <v>2209</v>
      </c>
      <c r="B90" s="182">
        <v>3</v>
      </c>
      <c r="C90" s="1614"/>
      <c r="D90" s="1614"/>
      <c r="E90" s="1634"/>
      <c r="F90" s="1635"/>
      <c r="G90" s="1614"/>
      <c r="H90" s="1634"/>
      <c r="I90" s="1636"/>
      <c r="J90" s="1614"/>
      <c r="K90" s="1634"/>
      <c r="L90" s="370"/>
    </row>
    <row r="91" spans="1:12" ht="11.25" customHeight="1" x14ac:dyDescent="0.25">
      <c r="A91" s="250" t="s">
        <v>2055</v>
      </c>
      <c r="B91" s="182">
        <v>3</v>
      </c>
      <c r="C91" s="1614"/>
      <c r="D91" s="1614"/>
      <c r="E91" s="1634"/>
      <c r="F91" s="1635"/>
      <c r="G91" s="1614"/>
      <c r="H91" s="1634"/>
      <c r="I91" s="1636"/>
      <c r="J91" s="1614"/>
      <c r="K91" s="1634"/>
      <c r="L91" s="370"/>
    </row>
    <row r="92" spans="1:12" ht="11.25" customHeight="1" x14ac:dyDescent="0.25">
      <c r="A92" s="250" t="s">
        <v>2210</v>
      </c>
      <c r="B92" s="182">
        <v>3</v>
      </c>
      <c r="C92" s="1614"/>
      <c r="D92" s="1614"/>
      <c r="E92" s="1634"/>
      <c r="F92" s="1635"/>
      <c r="G92" s="1614"/>
      <c r="H92" s="1634"/>
      <c r="I92" s="1636"/>
      <c r="J92" s="1614"/>
      <c r="K92" s="1634"/>
      <c r="L92" s="370"/>
    </row>
    <row r="93" spans="1:12" ht="11.25" customHeight="1" x14ac:dyDescent="0.25">
      <c r="A93" s="250" t="s">
        <v>1527</v>
      </c>
      <c r="B93" s="182">
        <v>3</v>
      </c>
      <c r="C93" s="1614"/>
      <c r="D93" s="1614"/>
      <c r="E93" s="1634"/>
      <c r="F93" s="1635"/>
      <c r="G93" s="1614"/>
      <c r="H93" s="1634"/>
      <c r="I93" s="1636"/>
      <c r="J93" s="1614"/>
      <c r="K93" s="1634"/>
      <c r="L93" s="370"/>
    </row>
    <row r="94" spans="1:12" ht="11.25" customHeight="1" x14ac:dyDescent="0.25">
      <c r="A94" s="250" t="s">
        <v>1657</v>
      </c>
      <c r="B94" s="182"/>
      <c r="C94" s="1614"/>
      <c r="D94" s="1614"/>
      <c r="E94" s="1634"/>
      <c r="F94" s="1635"/>
      <c r="G94" s="1614"/>
      <c r="H94" s="1634"/>
      <c r="I94" s="1636"/>
      <c r="J94" s="1614"/>
      <c r="K94" s="1634"/>
      <c r="L94" s="370"/>
    </row>
    <row r="95" spans="1:12" ht="11.25" customHeight="1" x14ac:dyDescent="0.25">
      <c r="A95" s="250" t="s">
        <v>1090</v>
      </c>
      <c r="B95" s="182"/>
      <c r="C95" s="1614"/>
      <c r="D95" s="1614"/>
      <c r="E95" s="1634"/>
      <c r="F95" s="1635"/>
      <c r="G95" s="1614"/>
      <c r="H95" s="1634"/>
      <c r="I95" s="1636"/>
      <c r="J95" s="1614"/>
      <c r="K95" s="1634"/>
      <c r="L95" s="370"/>
    </row>
    <row r="96" spans="1:12" ht="11.25" customHeight="1" x14ac:dyDescent="0.25">
      <c r="A96" s="250" t="s">
        <v>1658</v>
      </c>
      <c r="B96" s="182">
        <v>6</v>
      </c>
      <c r="C96" s="1614"/>
      <c r="D96" s="1614"/>
      <c r="E96" s="1634"/>
      <c r="F96" s="1635"/>
      <c r="G96" s="1614"/>
      <c r="H96" s="1634"/>
      <c r="I96" s="1636"/>
      <c r="J96" s="1614"/>
      <c r="K96" s="1634"/>
      <c r="L96" s="370"/>
    </row>
    <row r="97" spans="1:14" ht="11.25" customHeight="1" x14ac:dyDescent="0.25">
      <c r="A97" s="265" t="s">
        <v>1299</v>
      </c>
      <c r="B97" s="182"/>
      <c r="C97" s="213">
        <f>SUM(C85:C96)</f>
        <v>0</v>
      </c>
      <c r="D97" s="213">
        <f t="shared" ref="D97:K97" si="13">SUM(D85:D96)</f>
        <v>0</v>
      </c>
      <c r="E97" s="214">
        <f t="shared" si="13"/>
        <v>0</v>
      </c>
      <c r="F97" s="215">
        <f t="shared" si="13"/>
        <v>0</v>
      </c>
      <c r="G97" s="213">
        <f t="shared" si="13"/>
        <v>0</v>
      </c>
      <c r="H97" s="214">
        <f t="shared" si="13"/>
        <v>0</v>
      </c>
      <c r="I97" s="212">
        <f t="shared" si="13"/>
        <v>0</v>
      </c>
      <c r="J97" s="213">
        <f t="shared" si="13"/>
        <v>0</v>
      </c>
      <c r="K97" s="214">
        <f t="shared" si="13"/>
        <v>0</v>
      </c>
      <c r="L97" s="370"/>
    </row>
    <row r="98" spans="1:14" ht="11.25" customHeight="1" x14ac:dyDescent="0.25">
      <c r="A98" s="373" t="str">
        <f>$A$14</f>
        <v>% increase</v>
      </c>
      <c r="B98" s="182">
        <f>$B$14</f>
        <v>4</v>
      </c>
      <c r="C98" s="827"/>
      <c r="D98" s="823">
        <f>IF(ISERROR((D97/C97)-1),0,((D97/C97)-1))</f>
        <v>0</v>
      </c>
      <c r="E98" s="824">
        <f t="shared" ref="E98:K98" si="14">IF(ISERROR((E97/D97)-1),0,((E97/D97)-1))</f>
        <v>0</v>
      </c>
      <c r="F98" s="825">
        <f t="shared" si="14"/>
        <v>0</v>
      </c>
      <c r="G98" s="823">
        <f t="shared" si="14"/>
        <v>0</v>
      </c>
      <c r="H98" s="824">
        <f t="shared" si="14"/>
        <v>0</v>
      </c>
      <c r="I98" s="826">
        <f t="shared" si="14"/>
        <v>0</v>
      </c>
      <c r="J98" s="823">
        <f t="shared" si="14"/>
        <v>0</v>
      </c>
      <c r="K98" s="824">
        <f t="shared" si="14"/>
        <v>0</v>
      </c>
      <c r="L98" s="370"/>
    </row>
    <row r="99" spans="1:14" ht="5.15" customHeight="1" x14ac:dyDescent="0.25">
      <c r="A99" s="273"/>
      <c r="B99" s="182"/>
      <c r="C99" s="403"/>
      <c r="D99" s="403"/>
      <c r="E99" s="195"/>
      <c r="F99" s="400"/>
      <c r="G99" s="403"/>
      <c r="H99" s="195"/>
      <c r="I99" s="309"/>
      <c r="J99" s="403"/>
      <c r="K99" s="195"/>
      <c r="L99" s="370"/>
    </row>
    <row r="100" spans="1:14" ht="11.25" customHeight="1" x14ac:dyDescent="0.25">
      <c r="A100" s="797" t="s">
        <v>1548</v>
      </c>
      <c r="B100" s="798"/>
      <c r="C100" s="276">
        <f>C65+C81+C97</f>
        <v>0</v>
      </c>
      <c r="D100" s="276">
        <f t="shared" ref="D100:K100" si="15">D65+D81+D97</f>
        <v>0</v>
      </c>
      <c r="E100" s="277">
        <f t="shared" si="15"/>
        <v>0</v>
      </c>
      <c r="F100" s="278">
        <f t="shared" si="15"/>
        <v>0</v>
      </c>
      <c r="G100" s="276">
        <f t="shared" si="15"/>
        <v>0</v>
      </c>
      <c r="H100" s="277">
        <f t="shared" si="15"/>
        <v>0</v>
      </c>
      <c r="I100" s="275">
        <f t="shared" si="15"/>
        <v>0</v>
      </c>
      <c r="J100" s="276">
        <f t="shared" si="15"/>
        <v>0</v>
      </c>
      <c r="K100" s="277">
        <f t="shared" si="15"/>
        <v>0</v>
      </c>
      <c r="L100" s="370"/>
    </row>
    <row r="101" spans="1:14" ht="6" customHeight="1" x14ac:dyDescent="0.25">
      <c r="A101" s="273"/>
      <c r="B101" s="182"/>
      <c r="C101" s="403"/>
      <c r="D101" s="403"/>
      <c r="E101" s="195"/>
      <c r="F101" s="400"/>
      <c r="G101" s="403"/>
      <c r="H101" s="195"/>
      <c r="I101" s="309"/>
      <c r="J101" s="403"/>
      <c r="K101" s="195"/>
      <c r="L101" s="370"/>
    </row>
    <row r="102" spans="1:14" x14ac:dyDescent="0.25">
      <c r="A102" s="1359" t="s">
        <v>565</v>
      </c>
      <c r="B102" s="382"/>
      <c r="C102" s="283">
        <f>C48+C100</f>
        <v>540637469</v>
      </c>
      <c r="D102" s="283">
        <f>D48+D100</f>
        <v>632097085</v>
      </c>
      <c r="E102" s="284">
        <f t="shared" ref="E102:K102" si="16">E48+E100</f>
        <v>635848976.71000016</v>
      </c>
      <c r="F102" s="285">
        <f t="shared" si="16"/>
        <v>747415314.48411787</v>
      </c>
      <c r="G102" s="283">
        <f t="shared" si="16"/>
        <v>52513157.959999993</v>
      </c>
      <c r="H102" s="284">
        <f t="shared" si="16"/>
        <v>765597001.96411788</v>
      </c>
      <c r="I102" s="282">
        <f t="shared" si="16"/>
        <v>804505539.3599999</v>
      </c>
      <c r="J102" s="283">
        <f t="shared" si="16"/>
        <v>875516341.36000001</v>
      </c>
      <c r="K102" s="284">
        <f t="shared" si="16"/>
        <v>923659000</v>
      </c>
      <c r="L102" s="370"/>
    </row>
    <row r="103" spans="1:14" ht="12.75" customHeight="1" x14ac:dyDescent="0.25">
      <c r="A103" s="373" t="str">
        <f>$A$14</f>
        <v>% increase</v>
      </c>
      <c r="B103" s="182">
        <f>$B$14</f>
        <v>4</v>
      </c>
      <c r="C103" s="828"/>
      <c r="D103" s="823">
        <f>IF(ISERROR((D102/C102)-1),0,((D102/C102)-1))</f>
        <v>0.16916995444131899</v>
      </c>
      <c r="E103" s="826">
        <f t="shared" ref="E103:K103" si="17">IF(ISERROR((E102/D102)-1),0,((E102/D102)-1))</f>
        <v>5.935625711674053E-3</v>
      </c>
      <c r="F103" s="825">
        <f t="shared" si="17"/>
        <v>0.17546043456951455</v>
      </c>
      <c r="G103" s="823">
        <f t="shared" si="17"/>
        <v>-0.92974032383020444</v>
      </c>
      <c r="H103" s="824">
        <f t="shared" si="17"/>
        <v>13.579146097960512</v>
      </c>
      <c r="I103" s="826">
        <f t="shared" si="17"/>
        <v>5.0821172622232291E-2</v>
      </c>
      <c r="J103" s="823">
        <f t="shared" si="17"/>
        <v>8.8266392865971488E-2</v>
      </c>
      <c r="K103" s="824">
        <f t="shared" si="17"/>
        <v>5.4987732799157918E-2</v>
      </c>
      <c r="L103" s="360"/>
      <c r="M103" s="246"/>
      <c r="N103" s="246"/>
    </row>
    <row r="104" spans="1:14" ht="12.75" customHeight="1" x14ac:dyDescent="0.25">
      <c r="A104" s="281" t="s">
        <v>1426</v>
      </c>
      <c r="B104" s="225" t="s">
        <v>2271</v>
      </c>
      <c r="C104" s="230">
        <f t="shared" ref="C104:K104" si="18">C29+C45+C81+C97</f>
        <v>522120296</v>
      </c>
      <c r="D104" s="230">
        <f t="shared" si="18"/>
        <v>611528246</v>
      </c>
      <c r="E104" s="231">
        <f t="shared" si="18"/>
        <v>617696889.56000018</v>
      </c>
      <c r="F104" s="229">
        <f t="shared" si="18"/>
        <v>713415314.12411785</v>
      </c>
      <c r="G104" s="230">
        <f t="shared" si="18"/>
        <v>18513157.600000001</v>
      </c>
      <c r="H104" s="228">
        <f t="shared" si="18"/>
        <v>731597001.60411787</v>
      </c>
      <c r="I104" s="231">
        <f t="shared" si="18"/>
        <v>770488539</v>
      </c>
      <c r="J104" s="230">
        <f t="shared" si="18"/>
        <v>839832508</v>
      </c>
      <c r="K104" s="228">
        <f t="shared" si="18"/>
        <v>886017000</v>
      </c>
      <c r="L104" s="360"/>
      <c r="M104" s="246"/>
      <c r="N104" s="246"/>
    </row>
    <row r="105" spans="1:14" s="709" customFormat="1" x14ac:dyDescent="0.25">
      <c r="A105" s="1261" t="str">
        <f>head27a</f>
        <v>References</v>
      </c>
      <c r="B105" s="1038"/>
      <c r="C105" s="1079"/>
      <c r="D105" s="1079"/>
      <c r="E105" s="1079"/>
      <c r="F105" s="1079"/>
      <c r="G105" s="1079"/>
      <c r="H105" s="1079"/>
      <c r="I105" s="1079"/>
      <c r="J105" s="1079"/>
      <c r="K105" s="1079"/>
      <c r="L105" s="1061"/>
      <c r="M105" s="1061"/>
      <c r="N105" s="1061"/>
    </row>
    <row r="106" spans="1:14" s="709" customFormat="1" x14ac:dyDescent="0.25">
      <c r="A106" s="1262" t="s">
        <v>1650</v>
      </c>
      <c r="B106" s="1038"/>
      <c r="C106" s="1079"/>
      <c r="D106" s="1079"/>
      <c r="E106" s="1079"/>
      <c r="F106" s="1079"/>
      <c r="G106" s="1079"/>
      <c r="H106" s="1079"/>
      <c r="I106" s="1079"/>
      <c r="J106" s="1079"/>
      <c r="K106" s="1079"/>
      <c r="L106" s="1061"/>
      <c r="M106" s="1061"/>
      <c r="N106" s="1061"/>
    </row>
    <row r="107" spans="1:14" s="709" customFormat="1" x14ac:dyDescent="0.25">
      <c r="A107" s="1418" t="s">
        <v>680</v>
      </c>
      <c r="B107" s="1038"/>
      <c r="C107" s="1079"/>
      <c r="D107" s="1079"/>
      <c r="E107" s="1079"/>
      <c r="F107" s="1079"/>
      <c r="G107" s="1079"/>
      <c r="H107" s="1079"/>
      <c r="I107" s="1079"/>
      <c r="J107" s="1079"/>
      <c r="K107" s="1079"/>
      <c r="L107" s="1061"/>
      <c r="M107" s="1061"/>
      <c r="N107" s="1061"/>
    </row>
    <row r="108" spans="1:14" s="709" customFormat="1" x14ac:dyDescent="0.25">
      <c r="A108" s="1262" t="s">
        <v>2241</v>
      </c>
      <c r="B108" s="1038"/>
      <c r="C108" s="1079"/>
      <c r="D108" s="1079"/>
      <c r="E108" s="1079"/>
      <c r="F108" s="1079"/>
      <c r="G108" s="1079"/>
      <c r="H108" s="1079"/>
      <c r="I108" s="1079"/>
      <c r="J108" s="1079"/>
      <c r="K108" s="1079"/>
      <c r="L108" s="1061"/>
      <c r="M108" s="1061"/>
      <c r="N108" s="1061"/>
    </row>
    <row r="109" spans="1:14" s="709" customFormat="1" x14ac:dyDescent="0.25">
      <c r="A109" s="1418" t="s">
        <v>1651</v>
      </c>
      <c r="B109" s="1048"/>
      <c r="C109" s="1083"/>
    </row>
    <row r="110" spans="1:14" s="709" customFormat="1" x14ac:dyDescent="0.25">
      <c r="A110" s="1418" t="s">
        <v>128</v>
      </c>
      <c r="B110" s="1048"/>
      <c r="C110" s="1083"/>
    </row>
    <row r="111" spans="1:14" s="709" customFormat="1" x14ac:dyDescent="0.25">
      <c r="A111" s="1418" t="s">
        <v>2056</v>
      </c>
      <c r="B111" s="1048"/>
      <c r="C111" s="1083"/>
    </row>
    <row r="112" spans="1:14" s="709" customFormat="1" x14ac:dyDescent="0.25">
      <c r="A112" s="1418" t="s">
        <v>2270</v>
      </c>
      <c r="B112" s="1048"/>
      <c r="C112" s="1083"/>
    </row>
    <row r="113" spans="1:3" s="709" customFormat="1" ht="3.75" customHeight="1" x14ac:dyDescent="0.25">
      <c r="A113" s="1418"/>
      <c r="B113" s="1048"/>
      <c r="C113" s="1083"/>
    </row>
    <row r="114" spans="1:3" s="709" customFormat="1" x14ac:dyDescent="0.25">
      <c r="A114" s="1419" t="s">
        <v>544</v>
      </c>
      <c r="B114" s="1048"/>
    </row>
    <row r="115" spans="1:3" s="709" customFormat="1" x14ac:dyDescent="0.25">
      <c r="A115" s="1418" t="s">
        <v>1721</v>
      </c>
      <c r="B115" s="1048"/>
    </row>
    <row r="116" spans="1:3" s="709" customFormat="1" x14ac:dyDescent="0.25">
      <c r="A116" s="1418" t="s">
        <v>166</v>
      </c>
      <c r="B116" s="1048"/>
    </row>
    <row r="117" spans="1:3" s="709" customFormat="1" x14ac:dyDescent="0.25">
      <c r="A117" s="1418" t="s">
        <v>167</v>
      </c>
      <c r="B117" s="1048"/>
    </row>
    <row r="118" spans="1:3" s="709" customFormat="1" x14ac:dyDescent="0.25">
      <c r="A118" s="1418" t="s">
        <v>168</v>
      </c>
      <c r="B118" s="1048"/>
    </row>
    <row r="119" spans="1:3" s="709" customFormat="1" x14ac:dyDescent="0.25">
      <c r="A119" s="1418" t="s">
        <v>169</v>
      </c>
      <c r="B119" s="1048"/>
    </row>
    <row r="120" spans="1:3" s="709" customFormat="1" x14ac:dyDescent="0.25">
      <c r="A120" s="1418" t="s">
        <v>170</v>
      </c>
      <c r="B120" s="1048"/>
    </row>
    <row r="122" spans="1:3" x14ac:dyDescent="0.25">
      <c r="B122" s="149"/>
    </row>
    <row r="123" spans="1:3" x14ac:dyDescent="0.25">
      <c r="B123" s="149"/>
    </row>
    <row r="124" spans="1:3" x14ac:dyDescent="0.25">
      <c r="B124" s="149"/>
    </row>
    <row r="125" spans="1:3" x14ac:dyDescent="0.25">
      <c r="B125" s="149"/>
    </row>
    <row r="126" spans="1:3" x14ac:dyDescent="0.25">
      <c r="B126" s="149"/>
    </row>
    <row r="127" spans="1:3" x14ac:dyDescent="0.25">
      <c r="B127" s="149"/>
    </row>
    <row r="128" spans="1:3" x14ac:dyDescent="0.25">
      <c r="B128" s="149"/>
    </row>
    <row r="129" spans="2:2" x14ac:dyDescent="0.25">
      <c r="B129" s="149"/>
    </row>
    <row r="130" spans="2:2" x14ac:dyDescent="0.25">
      <c r="B130" s="149"/>
    </row>
    <row r="131" spans="2:2" x14ac:dyDescent="0.25">
      <c r="B131" s="149"/>
    </row>
    <row r="132" spans="2:2" x14ac:dyDescent="0.25">
      <c r="B132" s="149"/>
    </row>
    <row r="133" spans="2:2" x14ac:dyDescent="0.25">
      <c r="B133" s="149"/>
    </row>
    <row r="134" spans="2:2" x14ac:dyDescent="0.25">
      <c r="B134" s="149"/>
    </row>
    <row r="135" spans="2:2" x14ac:dyDescent="0.25">
      <c r="B135" s="149"/>
    </row>
    <row r="136" spans="2:2" x14ac:dyDescent="0.25">
      <c r="B136" s="149"/>
    </row>
    <row r="137" spans="2:2" x14ac:dyDescent="0.25">
      <c r="B137" s="149"/>
    </row>
    <row r="138" spans="2:2" x14ac:dyDescent="0.25">
      <c r="B138" s="149"/>
    </row>
    <row r="139" spans="2:2" x14ac:dyDescent="0.25">
      <c r="B139" s="149"/>
    </row>
    <row r="140" spans="2:2" x14ac:dyDescent="0.25">
      <c r="B140" s="149"/>
    </row>
    <row r="141" spans="2:2" x14ac:dyDescent="0.25">
      <c r="B141" s="149"/>
    </row>
    <row r="142" spans="2:2" x14ac:dyDescent="0.25">
      <c r="B142" s="149"/>
    </row>
    <row r="143" spans="2:2" x14ac:dyDescent="0.25">
      <c r="B143" s="149"/>
    </row>
    <row r="144" spans="2:2" x14ac:dyDescent="0.25">
      <c r="B144" s="149"/>
    </row>
    <row r="145" spans="2:2" x14ac:dyDescent="0.25">
      <c r="B145" s="149"/>
    </row>
    <row r="146" spans="2:2" x14ac:dyDescent="0.25">
      <c r="B146" s="149"/>
    </row>
    <row r="147" spans="2:2" x14ac:dyDescent="0.25">
      <c r="B147" s="149"/>
    </row>
    <row r="148" spans="2:2" x14ac:dyDescent="0.25">
      <c r="B148" s="149"/>
    </row>
    <row r="149" spans="2:2" x14ac:dyDescent="0.25">
      <c r="B149" s="149"/>
    </row>
    <row r="150" spans="2:2" x14ac:dyDescent="0.25">
      <c r="B150" s="149"/>
    </row>
    <row r="151" spans="2:2" x14ac:dyDescent="0.25">
      <c r="B151" s="149"/>
    </row>
    <row r="152" spans="2:2" x14ac:dyDescent="0.25">
      <c r="B152" s="149"/>
    </row>
    <row r="153" spans="2:2" x14ac:dyDescent="0.25">
      <c r="B153" s="149"/>
    </row>
    <row r="154" spans="2:2" x14ac:dyDescent="0.25">
      <c r="B154" s="149"/>
    </row>
    <row r="155" spans="2:2" x14ac:dyDescent="0.25">
      <c r="B155" s="149"/>
    </row>
    <row r="156" spans="2:2" x14ac:dyDescent="0.25">
      <c r="B156" s="149"/>
    </row>
    <row r="157" spans="2:2" x14ac:dyDescent="0.25">
      <c r="B157" s="149"/>
    </row>
    <row r="158" spans="2:2" x14ac:dyDescent="0.25">
      <c r="B158" s="149"/>
    </row>
    <row r="159" spans="2:2" x14ac:dyDescent="0.25">
      <c r="B159" s="149"/>
    </row>
    <row r="160" spans="2:2" x14ac:dyDescent="0.25">
      <c r="B160" s="149"/>
    </row>
    <row r="161" spans="2:2" x14ac:dyDescent="0.25">
      <c r="B161" s="149"/>
    </row>
    <row r="162" spans="2:2" x14ac:dyDescent="0.25">
      <c r="B162" s="149"/>
    </row>
    <row r="163" spans="2:2" x14ac:dyDescent="0.25">
      <c r="B163" s="149"/>
    </row>
    <row r="164" spans="2:2" x14ac:dyDescent="0.25">
      <c r="B164" s="149"/>
    </row>
    <row r="165" spans="2:2" x14ac:dyDescent="0.25">
      <c r="B165" s="149"/>
    </row>
    <row r="166" spans="2:2" x14ac:dyDescent="0.25">
      <c r="B166" s="149"/>
    </row>
    <row r="167" spans="2:2" x14ac:dyDescent="0.25">
      <c r="B167" s="149"/>
    </row>
    <row r="168" spans="2:2" x14ac:dyDescent="0.25">
      <c r="B168" s="149"/>
    </row>
    <row r="169" spans="2:2" x14ac:dyDescent="0.25">
      <c r="B169" s="149"/>
    </row>
    <row r="170" spans="2:2" x14ac:dyDescent="0.25">
      <c r="B170" s="149"/>
    </row>
    <row r="171" spans="2:2" x14ac:dyDescent="0.25">
      <c r="B171" s="149"/>
    </row>
    <row r="172" spans="2:2" x14ac:dyDescent="0.25">
      <c r="B172" s="149"/>
    </row>
    <row r="173" spans="2:2" x14ac:dyDescent="0.25">
      <c r="B173" s="149"/>
    </row>
    <row r="174" spans="2:2" x14ac:dyDescent="0.25">
      <c r="B174" s="149"/>
    </row>
    <row r="175" spans="2:2" x14ac:dyDescent="0.25">
      <c r="B175" s="149"/>
    </row>
    <row r="176" spans="2:2" x14ac:dyDescent="0.25">
      <c r="B176" s="149"/>
    </row>
    <row r="177" spans="2:2" x14ac:dyDescent="0.25">
      <c r="B177" s="149"/>
    </row>
    <row r="178" spans="2:2" x14ac:dyDescent="0.25">
      <c r="B178" s="149"/>
    </row>
    <row r="179" spans="2:2" x14ac:dyDescent="0.25">
      <c r="B179" s="149"/>
    </row>
    <row r="180" spans="2:2" x14ac:dyDescent="0.25">
      <c r="B180" s="149"/>
    </row>
    <row r="181" spans="2:2" x14ac:dyDescent="0.25">
      <c r="B181" s="149"/>
    </row>
    <row r="182" spans="2:2" x14ac:dyDescent="0.25">
      <c r="B182" s="149"/>
    </row>
    <row r="183" spans="2:2" x14ac:dyDescent="0.25">
      <c r="B183" s="149"/>
    </row>
    <row r="184" spans="2:2" x14ac:dyDescent="0.25">
      <c r="B184" s="149"/>
    </row>
    <row r="185" spans="2:2" x14ac:dyDescent="0.25">
      <c r="B185" s="149"/>
    </row>
    <row r="186" spans="2:2" x14ac:dyDescent="0.25">
      <c r="B186" s="149"/>
    </row>
    <row r="187" spans="2:2" x14ac:dyDescent="0.25">
      <c r="B187" s="149"/>
    </row>
    <row r="188" spans="2:2" x14ac:dyDescent="0.25">
      <c r="B188" s="149"/>
    </row>
    <row r="189" spans="2:2" x14ac:dyDescent="0.25">
      <c r="B189" s="149"/>
    </row>
    <row r="190" spans="2:2" x14ac:dyDescent="0.25">
      <c r="B190" s="149"/>
    </row>
    <row r="191" spans="2:2" x14ac:dyDescent="0.25">
      <c r="B191" s="149"/>
    </row>
    <row r="192" spans="2:2" x14ac:dyDescent="0.25">
      <c r="B192" s="149"/>
    </row>
    <row r="193" spans="2:2" x14ac:dyDescent="0.25">
      <c r="B193" s="149"/>
    </row>
    <row r="194" spans="2:2" x14ac:dyDescent="0.25">
      <c r="B194" s="149"/>
    </row>
    <row r="195" spans="2:2" x14ac:dyDescent="0.25">
      <c r="B195" s="149"/>
    </row>
    <row r="196" spans="2:2" x14ac:dyDescent="0.25">
      <c r="B196" s="149"/>
    </row>
  </sheetData>
  <sheetProtection password="C646" sheet="1" objects="1" scenarios="1"/>
  <mergeCells count="2">
    <mergeCell ref="F2:H2"/>
    <mergeCell ref="I2:K2"/>
  </mergeCells>
  <phoneticPr fontId="2" type="noConversion"/>
  <dataValidations count="1">
    <dataValidation type="decimal" allowBlank="1" showInputMessage="1" showErrorMessage="1" sqref="C17:K28 C33:K44 C52:K64 C69:K80 C85:K96 C6:K12">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56" orientation="portrait" r:id="rId1"/>
  <headerFooter alignWithMargins="0"/>
  <rowBreaks count="1" manualBreakCount="1">
    <brk id="104"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enableFormatConditionsCalculation="0">
    <tabColor indexed="42"/>
    <pageSetUpPr fitToPage="1"/>
  </sheetPr>
  <dimension ref="A1:O70"/>
  <sheetViews>
    <sheetView showGridLines="0" zoomScaleNormal="100" workbookViewId="0">
      <pane xSplit="2" ySplit="3" topLeftCell="C58" activePane="bottomRight" state="frozen"/>
      <selection pane="topRight"/>
      <selection pane="bottomLeft"/>
      <selection pane="bottomRight" activeCell="F17" sqref="F17"/>
    </sheetView>
  </sheetViews>
  <sheetFormatPr defaultColWidth="9.1796875" defaultRowHeight="10.5" x14ac:dyDescent="0.25"/>
  <cols>
    <col min="1" max="1" width="38.81640625" style="149" customWidth="1"/>
    <col min="2" max="2" width="3" style="247" customWidth="1"/>
    <col min="3" max="3" width="4.1796875" style="247" customWidth="1"/>
    <col min="4" max="4" width="9.26953125" style="149" customWidth="1"/>
    <col min="5" max="5" width="9.81640625" style="149" customWidth="1"/>
    <col min="6" max="9" width="9.26953125" style="149" customWidth="1"/>
    <col min="10" max="10" width="9.81640625" style="149" customWidth="1"/>
    <col min="11" max="11" width="9.54296875" style="149" customWidth="1"/>
    <col min="12" max="12" width="9.81640625" style="149" customWidth="1"/>
    <col min="13" max="15" width="9.54296875" style="149" customWidth="1"/>
    <col min="16" max="16" width="9.81640625" style="149" customWidth="1"/>
    <col min="17" max="19" width="9.54296875" style="149" customWidth="1"/>
    <col min="20" max="21" width="9.81640625" style="149" customWidth="1"/>
    <col min="22" max="16384" width="9.1796875" style="149"/>
  </cols>
  <sheetData>
    <row r="1" spans="1:9" ht="13.5" customHeight="1" x14ac:dyDescent="0.3">
      <c r="A1" s="147" t="str">
        <f>muni&amp;" - "&amp;TableA23</f>
        <v>KZN225 Msunduzi - Supporting Table SA23 Salaries, allowances &amp; benefits (political office bearers/councillors/senior managers)</v>
      </c>
      <c r="B1" s="147"/>
      <c r="C1" s="147"/>
      <c r="D1" s="147"/>
      <c r="E1" s="147"/>
      <c r="F1" s="147"/>
      <c r="G1" s="147"/>
      <c r="H1" s="147"/>
      <c r="I1" s="147"/>
    </row>
    <row r="2" spans="1:9" ht="24.75" customHeight="1" x14ac:dyDescent="0.25">
      <c r="A2" s="985" t="s">
        <v>333</v>
      </c>
      <c r="B2" s="419" t="str">
        <f>head27</f>
        <v>Ref</v>
      </c>
      <c r="C2" s="2725" t="s">
        <v>2238</v>
      </c>
      <c r="D2" s="2742" t="s">
        <v>112</v>
      </c>
      <c r="E2" s="2523" t="s">
        <v>2240</v>
      </c>
      <c r="F2" s="2742" t="s">
        <v>113</v>
      </c>
      <c r="G2" s="2742" t="s">
        <v>760</v>
      </c>
      <c r="H2" s="835" t="s">
        <v>968</v>
      </c>
      <c r="I2" s="835" t="s">
        <v>969</v>
      </c>
    </row>
    <row r="3" spans="1:9" ht="29.25" customHeight="1" x14ac:dyDescent="0.25">
      <c r="A3" s="180" t="s">
        <v>778</v>
      </c>
      <c r="B3" s="1533"/>
      <c r="C3" s="2726"/>
      <c r="D3" s="2743"/>
      <c r="E3" s="2522" t="s">
        <v>2239</v>
      </c>
      <c r="F3" s="2743"/>
      <c r="G3" s="2743"/>
      <c r="H3" s="1000"/>
      <c r="I3" s="1000" t="s">
        <v>1808</v>
      </c>
    </row>
    <row r="4" spans="1:9" ht="11.25" customHeight="1" x14ac:dyDescent="0.25">
      <c r="A4" s="249" t="s">
        <v>111</v>
      </c>
      <c r="B4" s="182">
        <v>3</v>
      </c>
      <c r="C4" s="836"/>
      <c r="D4" s="837"/>
      <c r="E4" s="837"/>
      <c r="F4" s="837"/>
      <c r="G4" s="392"/>
      <c r="H4" s="393"/>
      <c r="I4" s="838"/>
    </row>
    <row r="5" spans="1:9" ht="11.25" customHeight="1" x14ac:dyDescent="0.25">
      <c r="A5" s="250" t="s">
        <v>720</v>
      </c>
      <c r="B5" s="182">
        <v>4</v>
      </c>
      <c r="C5" s="1940"/>
      <c r="D5" s="1666">
        <v>55027.1</v>
      </c>
      <c r="E5" s="1666">
        <v>4788.91</v>
      </c>
      <c r="F5" s="1666">
        <v>11393</v>
      </c>
      <c r="G5" s="2007"/>
      <c r="H5" s="2008"/>
      <c r="I5" s="838">
        <f t="shared" ref="I5:I10" si="0">SUM(D5:F5)</f>
        <v>71209.009999999995</v>
      </c>
    </row>
    <row r="6" spans="1:9" ht="11.25" customHeight="1" x14ac:dyDescent="0.25">
      <c r="A6" s="250" t="s">
        <v>1302</v>
      </c>
      <c r="B6" s="182"/>
      <c r="C6" s="1940"/>
      <c r="D6" s="1666">
        <v>52246.57</v>
      </c>
      <c r="E6" s="1666">
        <v>7836.99</v>
      </c>
      <c r="F6" s="1666">
        <v>6675.95</v>
      </c>
      <c r="G6" s="2007"/>
      <c r="H6" s="2008"/>
      <c r="I6" s="838">
        <f t="shared" si="0"/>
        <v>66759.509999999995</v>
      </c>
    </row>
    <row r="7" spans="1:9" ht="11.25" customHeight="1" x14ac:dyDescent="0.25">
      <c r="A7" s="250" t="s">
        <v>721</v>
      </c>
      <c r="B7" s="182"/>
      <c r="C7" s="1940"/>
      <c r="D7" s="1666">
        <v>77402</v>
      </c>
      <c r="E7" s="1666">
        <v>1610.36</v>
      </c>
      <c r="F7" s="1666"/>
      <c r="G7" s="2007"/>
      <c r="H7" s="2008"/>
      <c r="I7" s="838">
        <f t="shared" si="0"/>
        <v>79012.36</v>
      </c>
    </row>
    <row r="8" spans="1:9" ht="11.25" customHeight="1" x14ac:dyDescent="0.25">
      <c r="A8" s="250" t="s">
        <v>281</v>
      </c>
      <c r="B8" s="182"/>
      <c r="C8" s="1940"/>
      <c r="D8" s="1666">
        <v>52014</v>
      </c>
      <c r="E8" s="1666">
        <v>7802.17</v>
      </c>
      <c r="F8" s="1666">
        <v>11393</v>
      </c>
      <c r="G8" s="2007"/>
      <c r="H8" s="2008"/>
      <c r="I8" s="838">
        <f t="shared" si="0"/>
        <v>71209.17</v>
      </c>
    </row>
    <row r="9" spans="1:9" ht="11.25" customHeight="1" x14ac:dyDescent="0.25">
      <c r="A9" s="250" t="s">
        <v>460</v>
      </c>
      <c r="B9" s="182"/>
      <c r="C9" s="1940"/>
      <c r="D9" s="1666">
        <v>332942</v>
      </c>
      <c r="E9" s="1666">
        <v>41697</v>
      </c>
      <c r="F9" s="1666">
        <v>92677.11</v>
      </c>
      <c r="G9" s="2007"/>
      <c r="H9" s="2008"/>
      <c r="I9" s="838">
        <f t="shared" si="0"/>
        <v>467316.11</v>
      </c>
    </row>
    <row r="10" spans="1:9" ht="11.25" customHeight="1" x14ac:dyDescent="0.25">
      <c r="A10" s="250" t="s">
        <v>461</v>
      </c>
      <c r="B10" s="182"/>
      <c r="C10" s="1940"/>
      <c r="D10" s="1666">
        <v>1296173</v>
      </c>
      <c r="E10" s="1666">
        <v>341023</v>
      </c>
      <c r="F10" s="1666">
        <v>394474</v>
      </c>
      <c r="G10" s="2007"/>
      <c r="H10" s="2008"/>
      <c r="I10" s="838">
        <f t="shared" si="0"/>
        <v>2031670</v>
      </c>
    </row>
    <row r="11" spans="1:9" ht="11.25" customHeight="1" x14ac:dyDescent="0.25">
      <c r="A11" s="797" t="str">
        <f>"Total "&amp;A4</f>
        <v>Total Councillors</v>
      </c>
      <c r="B11" s="798">
        <v>8</v>
      </c>
      <c r="C11" s="840">
        <f t="shared" ref="C11:I11" si="1">SUM(C5:C10)</f>
        <v>0</v>
      </c>
      <c r="D11" s="841">
        <f t="shared" si="1"/>
        <v>1865804.67</v>
      </c>
      <c r="E11" s="841">
        <f t="shared" si="1"/>
        <v>404758.43</v>
      </c>
      <c r="F11" s="842">
        <f t="shared" si="1"/>
        <v>516613.06</v>
      </c>
      <c r="G11" s="841"/>
      <c r="H11" s="846"/>
      <c r="I11" s="843">
        <f t="shared" si="1"/>
        <v>2787176.16</v>
      </c>
    </row>
    <row r="12" spans="1:9" x14ac:dyDescent="0.25">
      <c r="A12" s="273"/>
      <c r="B12" s="182"/>
      <c r="C12" s="836"/>
      <c r="D12" s="837"/>
      <c r="E12" s="392"/>
      <c r="F12" s="837"/>
      <c r="G12" s="392"/>
      <c r="H12" s="393"/>
      <c r="I12" s="838"/>
    </row>
    <row r="13" spans="1:9" ht="11.25" customHeight="1" x14ac:dyDescent="0.25">
      <c r="A13" s="249" t="s">
        <v>1300</v>
      </c>
      <c r="B13" s="182">
        <v>5</v>
      </c>
      <c r="C13" s="836"/>
      <c r="D13" s="837"/>
      <c r="E13" s="392"/>
      <c r="F13" s="837"/>
      <c r="G13" s="392"/>
      <c r="H13" s="393"/>
      <c r="I13" s="838"/>
    </row>
    <row r="14" spans="1:9" ht="11.25" customHeight="1" x14ac:dyDescent="0.25">
      <c r="A14" s="1913" t="s">
        <v>114</v>
      </c>
      <c r="B14" s="182"/>
      <c r="C14" s="1940"/>
      <c r="D14" s="1666">
        <v>72794.080000000002</v>
      </c>
      <c r="E14" s="1666">
        <v>9463.23</v>
      </c>
      <c r="F14" s="1666">
        <v>30077</v>
      </c>
      <c r="G14" s="1666"/>
      <c r="H14" s="2008"/>
      <c r="I14" s="838">
        <f t="shared" ref="I14:I19" si="2">SUM(D14:H14)</f>
        <v>112334.31</v>
      </c>
    </row>
    <row r="15" spans="1:9" ht="11.25" customHeight="1" x14ac:dyDescent="0.25">
      <c r="A15" s="1913" t="s">
        <v>115</v>
      </c>
      <c r="B15" s="182"/>
      <c r="C15" s="1940"/>
      <c r="D15" s="1666">
        <v>65123.19</v>
      </c>
      <c r="E15" s="1666">
        <v>6349.51</v>
      </c>
      <c r="F15" s="1666">
        <v>15703</v>
      </c>
      <c r="G15" s="1666"/>
      <c r="H15" s="2008"/>
      <c r="I15" s="838">
        <f t="shared" si="2"/>
        <v>87175.7</v>
      </c>
    </row>
    <row r="16" spans="1:9" ht="11.25" customHeight="1" x14ac:dyDescent="0.25">
      <c r="A16" s="1913" t="s">
        <v>2454</v>
      </c>
      <c r="B16" s="182"/>
      <c r="C16" s="1940"/>
      <c r="D16" s="1666">
        <f>60744*1.005</f>
        <v>61047.719999999994</v>
      </c>
      <c r="E16" s="1666">
        <f>12997.48*1.005</f>
        <v>13062.467399999998</v>
      </c>
      <c r="F16" s="1666">
        <f>13000.1*1.005+1</f>
        <v>13066.100499999999</v>
      </c>
      <c r="G16" s="1666"/>
      <c r="H16" s="2008"/>
      <c r="I16" s="838">
        <f t="shared" si="2"/>
        <v>87176.287899999996</v>
      </c>
    </row>
    <row r="17" spans="1:9" ht="11.25" customHeight="1" x14ac:dyDescent="0.25">
      <c r="A17" s="1913" t="s">
        <v>2455</v>
      </c>
      <c r="B17" s="182"/>
      <c r="C17" s="1940"/>
      <c r="D17" s="1666"/>
      <c r="E17" s="1666"/>
      <c r="F17" s="1666">
        <v>87176</v>
      </c>
      <c r="G17" s="1666"/>
      <c r="H17" s="2008"/>
      <c r="I17" s="838">
        <f t="shared" si="2"/>
        <v>87176</v>
      </c>
    </row>
    <row r="18" spans="1:9" ht="11.25" customHeight="1" x14ac:dyDescent="0.25">
      <c r="A18" s="1913" t="s">
        <v>2456</v>
      </c>
      <c r="B18" s="182"/>
      <c r="C18" s="1940"/>
      <c r="D18" s="1666"/>
      <c r="E18" s="1666"/>
      <c r="F18" s="1666">
        <v>87176</v>
      </c>
      <c r="G18" s="1666"/>
      <c r="H18" s="2008"/>
      <c r="I18" s="838">
        <f t="shared" si="2"/>
        <v>87176</v>
      </c>
    </row>
    <row r="19" spans="1:9" ht="11.25" customHeight="1" x14ac:dyDescent="0.25">
      <c r="A19" s="1913"/>
      <c r="B19" s="182"/>
      <c r="C19" s="1940"/>
      <c r="D19" s="1666"/>
      <c r="E19" s="1666"/>
      <c r="F19" s="1666"/>
      <c r="G19" s="1666"/>
      <c r="H19" s="2008"/>
      <c r="I19" s="838">
        <f t="shared" si="2"/>
        <v>0</v>
      </c>
    </row>
    <row r="20" spans="1:9" ht="5.15" customHeight="1" x14ac:dyDescent="0.25">
      <c r="A20" s="273"/>
      <c r="B20" s="182"/>
      <c r="C20" s="2087"/>
      <c r="D20" s="2088"/>
      <c r="E20" s="2089"/>
      <c r="F20" s="2088"/>
      <c r="G20" s="2089"/>
      <c r="H20" s="2090"/>
      <c r="I20" s="838"/>
    </row>
    <row r="21" spans="1:9" ht="11.25" customHeight="1" x14ac:dyDescent="0.25">
      <c r="A21" s="958" t="s">
        <v>324</v>
      </c>
      <c r="B21" s="182"/>
      <c r="C21" s="836"/>
      <c r="D21" s="837"/>
      <c r="E21" s="392"/>
      <c r="F21" s="837"/>
      <c r="G21" s="392"/>
      <c r="H21" s="393"/>
      <c r="I21" s="838"/>
    </row>
    <row r="22" spans="1:9" ht="11.25" customHeight="1" x14ac:dyDescent="0.25">
      <c r="A22" s="1913"/>
      <c r="B22" s="182"/>
      <c r="C22" s="1940"/>
      <c r="D22" s="1666"/>
      <c r="E22" s="1666"/>
      <c r="F22" s="1666"/>
      <c r="G22" s="1666"/>
      <c r="H22" s="2008"/>
      <c r="I22" s="838">
        <f>SUM(D22:H22)</f>
        <v>0</v>
      </c>
    </row>
    <row r="23" spans="1:9" ht="11.25" customHeight="1" x14ac:dyDescent="0.25">
      <c r="A23" s="1913"/>
      <c r="B23" s="182"/>
      <c r="C23" s="1940"/>
      <c r="D23" s="1666"/>
      <c r="E23" s="1666"/>
      <c r="F23" s="1666"/>
      <c r="G23" s="1666"/>
      <c r="H23" s="2008"/>
      <c r="I23" s="838">
        <f t="shared" ref="I23:I32" si="3">SUM(D23:H23)</f>
        <v>0</v>
      </c>
    </row>
    <row r="24" spans="1:9" ht="11.25" customHeight="1" x14ac:dyDescent="0.25">
      <c r="A24" s="1913"/>
      <c r="B24" s="182"/>
      <c r="C24" s="1940"/>
      <c r="D24" s="1666"/>
      <c r="E24" s="1666"/>
      <c r="F24" s="1666"/>
      <c r="G24" s="1666"/>
      <c r="H24" s="2008"/>
      <c r="I24" s="838">
        <f t="shared" si="3"/>
        <v>0</v>
      </c>
    </row>
    <row r="25" spans="1:9" ht="11.25" customHeight="1" x14ac:dyDescent="0.25">
      <c r="A25" s="1913"/>
      <c r="B25" s="182"/>
      <c r="C25" s="1940"/>
      <c r="D25" s="1666"/>
      <c r="E25" s="1666"/>
      <c r="F25" s="1666"/>
      <c r="G25" s="1666"/>
      <c r="H25" s="2008"/>
      <c r="I25" s="838">
        <f t="shared" si="3"/>
        <v>0</v>
      </c>
    </row>
    <row r="26" spans="1:9" ht="11.25" customHeight="1" x14ac:dyDescent="0.25">
      <c r="A26" s="1913"/>
      <c r="B26" s="182"/>
      <c r="C26" s="1940"/>
      <c r="D26" s="1666"/>
      <c r="E26" s="1666"/>
      <c r="F26" s="1666"/>
      <c r="G26" s="1666"/>
      <c r="H26" s="2008"/>
      <c r="I26" s="838">
        <f t="shared" si="3"/>
        <v>0</v>
      </c>
    </row>
    <row r="27" spans="1:9" ht="11.25" customHeight="1" x14ac:dyDescent="0.25">
      <c r="A27" s="1913"/>
      <c r="B27" s="182"/>
      <c r="C27" s="1940"/>
      <c r="D27" s="1666"/>
      <c r="E27" s="1666"/>
      <c r="F27" s="1666"/>
      <c r="G27" s="1666"/>
      <c r="H27" s="2008"/>
      <c r="I27" s="838">
        <f t="shared" si="3"/>
        <v>0</v>
      </c>
    </row>
    <row r="28" spans="1:9" ht="11.25" customHeight="1" x14ac:dyDescent="0.25">
      <c r="A28" s="1913"/>
      <c r="B28" s="182"/>
      <c r="C28" s="1940"/>
      <c r="D28" s="1666"/>
      <c r="E28" s="1666"/>
      <c r="F28" s="1666"/>
      <c r="G28" s="1666"/>
      <c r="H28" s="2008"/>
      <c r="I28" s="838">
        <f t="shared" si="3"/>
        <v>0</v>
      </c>
    </row>
    <row r="29" spans="1:9" ht="11.25" customHeight="1" x14ac:dyDescent="0.25">
      <c r="A29" s="1913"/>
      <c r="B29" s="182"/>
      <c r="C29" s="1940"/>
      <c r="D29" s="1666"/>
      <c r="E29" s="1666"/>
      <c r="F29" s="1666"/>
      <c r="G29" s="1666"/>
      <c r="H29" s="2008"/>
      <c r="I29" s="838">
        <f t="shared" si="3"/>
        <v>0</v>
      </c>
    </row>
    <row r="30" spans="1:9" ht="11.25" customHeight="1" x14ac:dyDescent="0.25">
      <c r="A30" s="1913"/>
      <c r="B30" s="182"/>
      <c r="C30" s="1940"/>
      <c r="D30" s="1666"/>
      <c r="E30" s="1666"/>
      <c r="F30" s="1666"/>
      <c r="G30" s="1666"/>
      <c r="H30" s="2008"/>
      <c r="I30" s="838">
        <f t="shared" si="3"/>
        <v>0</v>
      </c>
    </row>
    <row r="31" spans="1:9" ht="11.25" customHeight="1" x14ac:dyDescent="0.25">
      <c r="A31" s="1913"/>
      <c r="B31" s="182"/>
      <c r="C31" s="1940"/>
      <c r="D31" s="1666"/>
      <c r="E31" s="1666"/>
      <c r="F31" s="1666"/>
      <c r="G31" s="1666"/>
      <c r="H31" s="2008"/>
      <c r="I31" s="838">
        <f t="shared" si="3"/>
        <v>0</v>
      </c>
    </row>
    <row r="32" spans="1:9" ht="11.25" customHeight="1" x14ac:dyDescent="0.25">
      <c r="A32" s="1913"/>
      <c r="B32" s="182"/>
      <c r="C32" s="1940"/>
      <c r="D32" s="1666"/>
      <c r="E32" s="1666"/>
      <c r="F32" s="1666"/>
      <c r="G32" s="1666"/>
      <c r="H32" s="2008"/>
      <c r="I32" s="838">
        <f t="shared" si="3"/>
        <v>0</v>
      </c>
    </row>
    <row r="33" spans="1:9" ht="11.25" customHeight="1" x14ac:dyDescent="0.25">
      <c r="A33" s="1654"/>
      <c r="B33" s="182"/>
      <c r="C33" s="1940"/>
      <c r="D33" s="1666"/>
      <c r="E33" s="1666"/>
      <c r="F33" s="1666"/>
      <c r="G33" s="1666"/>
      <c r="H33" s="2008"/>
      <c r="I33" s="838">
        <f>SUM(D33:H33)</f>
        <v>0</v>
      </c>
    </row>
    <row r="34" spans="1:9" ht="11.25" customHeight="1" x14ac:dyDescent="0.25">
      <c r="A34" s="1654"/>
      <c r="B34" s="182"/>
      <c r="C34" s="1940"/>
      <c r="D34" s="1666"/>
      <c r="E34" s="1666"/>
      <c r="F34" s="1666"/>
      <c r="G34" s="1666"/>
      <c r="H34" s="2008"/>
      <c r="I34" s="838">
        <f>SUM(D34:H34)</f>
        <v>0</v>
      </c>
    </row>
    <row r="35" spans="1:9" ht="11.25" customHeight="1" x14ac:dyDescent="0.25">
      <c r="A35" s="797" t="str">
        <f>"Total "&amp;A13</f>
        <v>Total Senior Managers of the Municipality</v>
      </c>
      <c r="B35" s="798" t="s">
        <v>2273</v>
      </c>
      <c r="C35" s="845">
        <f>SUM(C14:C34)</f>
        <v>0</v>
      </c>
      <c r="D35" s="842">
        <f>SUM(D14:D34)</f>
        <v>198964.99000000002</v>
      </c>
      <c r="E35" s="841">
        <f>SUM(E14:E34)</f>
        <v>28875.207399999999</v>
      </c>
      <c r="F35" s="842">
        <f>SUM(F14:F34)</f>
        <v>233198.1005</v>
      </c>
      <c r="G35" s="841">
        <f>SUM(G14:G34)</f>
        <v>0</v>
      </c>
      <c r="H35" s="846"/>
      <c r="I35" s="843">
        <f>SUM(I14:I34)</f>
        <v>461038.29790000001</v>
      </c>
    </row>
    <row r="36" spans="1:9" x14ac:dyDescent="0.25">
      <c r="A36" s="273"/>
      <c r="B36" s="182"/>
      <c r="C36" s="836"/>
      <c r="D36" s="837"/>
      <c r="E36" s="392"/>
      <c r="F36" s="837"/>
      <c r="G36" s="392"/>
      <c r="H36" s="393"/>
      <c r="I36" s="838"/>
    </row>
    <row r="37" spans="1:9" ht="11.25" customHeight="1" x14ac:dyDescent="0.25">
      <c r="A37" s="249" t="s">
        <v>761</v>
      </c>
      <c r="B37" s="182" t="s">
        <v>2242</v>
      </c>
      <c r="C37" s="836"/>
      <c r="D37" s="837"/>
      <c r="E37" s="392"/>
      <c r="F37" s="837"/>
      <c r="G37" s="392"/>
      <c r="H37" s="393"/>
      <c r="I37" s="838"/>
    </row>
    <row r="38" spans="1:9" ht="11.25" customHeight="1" x14ac:dyDescent="0.25">
      <c r="A38" s="254" t="s">
        <v>116</v>
      </c>
      <c r="B38" s="182"/>
      <c r="C38" s="839"/>
      <c r="D38" s="392"/>
      <c r="E38" s="392"/>
      <c r="F38" s="392"/>
      <c r="G38" s="392"/>
      <c r="H38" s="393"/>
      <c r="I38" s="847"/>
    </row>
    <row r="39" spans="1:9" ht="11.25" customHeight="1" x14ac:dyDescent="0.25">
      <c r="A39" s="1913"/>
      <c r="B39" s="182"/>
      <c r="C39" s="1940"/>
      <c r="D39" s="1666"/>
      <c r="E39" s="1666"/>
      <c r="F39" s="1666"/>
      <c r="G39" s="1666"/>
      <c r="H39" s="2008"/>
      <c r="I39" s="847">
        <f>SUM(D39:G39)</f>
        <v>0</v>
      </c>
    </row>
    <row r="40" spans="1:9" ht="11.25" customHeight="1" x14ac:dyDescent="0.25">
      <c r="A40" s="1913"/>
      <c r="B40" s="182"/>
      <c r="C40" s="1940"/>
      <c r="D40" s="1666"/>
      <c r="E40" s="1666"/>
      <c r="F40" s="1666"/>
      <c r="G40" s="1666"/>
      <c r="H40" s="2008"/>
      <c r="I40" s="847">
        <f t="shared" ref="I40:I54" si="4">SUM(D40:G40)</f>
        <v>0</v>
      </c>
    </row>
    <row r="41" spans="1:9" ht="11.25" customHeight="1" x14ac:dyDescent="0.25">
      <c r="A41" s="1913"/>
      <c r="B41" s="182"/>
      <c r="C41" s="1940"/>
      <c r="D41" s="1666"/>
      <c r="E41" s="1666"/>
      <c r="F41" s="1666"/>
      <c r="G41" s="1666"/>
      <c r="H41" s="2008"/>
      <c r="I41" s="847">
        <f t="shared" si="4"/>
        <v>0</v>
      </c>
    </row>
    <row r="42" spans="1:9" ht="11.25" customHeight="1" x14ac:dyDescent="0.25">
      <c r="A42" s="1913"/>
      <c r="B42" s="182"/>
      <c r="C42" s="1940"/>
      <c r="D42" s="1666"/>
      <c r="E42" s="1666"/>
      <c r="F42" s="1666"/>
      <c r="G42" s="1666"/>
      <c r="H42" s="2008"/>
      <c r="I42" s="847">
        <f t="shared" si="4"/>
        <v>0</v>
      </c>
    </row>
    <row r="43" spans="1:9" ht="11.25" customHeight="1" x14ac:dyDescent="0.25">
      <c r="A43" s="1913"/>
      <c r="B43" s="182"/>
      <c r="C43" s="1940"/>
      <c r="D43" s="1666"/>
      <c r="E43" s="1666"/>
      <c r="F43" s="1666"/>
      <c r="G43" s="1666"/>
      <c r="H43" s="2008"/>
      <c r="I43" s="847">
        <f t="shared" si="4"/>
        <v>0</v>
      </c>
    </row>
    <row r="44" spans="1:9" ht="11.25" customHeight="1" x14ac:dyDescent="0.25">
      <c r="A44" s="1913"/>
      <c r="B44" s="182"/>
      <c r="C44" s="1940"/>
      <c r="D44" s="1666"/>
      <c r="E44" s="1666"/>
      <c r="F44" s="1666"/>
      <c r="G44" s="1666"/>
      <c r="H44" s="2008"/>
      <c r="I44" s="847">
        <f t="shared" si="4"/>
        <v>0</v>
      </c>
    </row>
    <row r="45" spans="1:9" ht="11.25" customHeight="1" x14ac:dyDescent="0.25">
      <c r="A45" s="1913"/>
      <c r="B45" s="182"/>
      <c r="C45" s="1940"/>
      <c r="D45" s="1666"/>
      <c r="E45" s="1666"/>
      <c r="F45" s="1666"/>
      <c r="G45" s="1666"/>
      <c r="H45" s="2008"/>
      <c r="I45" s="847">
        <f t="shared" si="4"/>
        <v>0</v>
      </c>
    </row>
    <row r="46" spans="1:9" ht="11.25" customHeight="1" x14ac:dyDescent="0.25">
      <c r="A46" s="1913"/>
      <c r="B46" s="182"/>
      <c r="C46" s="1940"/>
      <c r="D46" s="1666"/>
      <c r="E46" s="1666"/>
      <c r="F46" s="1666"/>
      <c r="G46" s="1666"/>
      <c r="H46" s="2008"/>
      <c r="I46" s="847">
        <f t="shared" si="4"/>
        <v>0</v>
      </c>
    </row>
    <row r="47" spans="1:9" ht="11.25" customHeight="1" x14ac:dyDescent="0.25">
      <c r="A47" s="1913"/>
      <c r="B47" s="182"/>
      <c r="C47" s="1940"/>
      <c r="D47" s="1666"/>
      <c r="E47" s="1666"/>
      <c r="F47" s="1666"/>
      <c r="G47" s="1666"/>
      <c r="H47" s="2008"/>
      <c r="I47" s="847">
        <f t="shared" si="4"/>
        <v>0</v>
      </c>
    </row>
    <row r="48" spans="1:9" ht="11.25" customHeight="1" x14ac:dyDescent="0.25">
      <c r="A48" s="1913"/>
      <c r="B48" s="182"/>
      <c r="C48" s="1940"/>
      <c r="D48" s="1666"/>
      <c r="E48" s="1666"/>
      <c r="F48" s="1666"/>
      <c r="G48" s="1666"/>
      <c r="H48" s="2008"/>
      <c r="I48" s="847">
        <f t="shared" si="4"/>
        <v>0</v>
      </c>
    </row>
    <row r="49" spans="1:15" ht="11.25" customHeight="1" x14ac:dyDescent="0.25">
      <c r="A49" s="1913"/>
      <c r="B49" s="182"/>
      <c r="C49" s="1940"/>
      <c r="D49" s="1666"/>
      <c r="E49" s="1666"/>
      <c r="F49" s="1666"/>
      <c r="G49" s="1666"/>
      <c r="H49" s="2008"/>
      <c r="I49" s="847">
        <f t="shared" si="4"/>
        <v>0</v>
      </c>
    </row>
    <row r="50" spans="1:15" ht="11.25" customHeight="1" x14ac:dyDescent="0.25">
      <c r="A50" s="1913"/>
      <c r="B50" s="182"/>
      <c r="C50" s="1940"/>
      <c r="D50" s="1666"/>
      <c r="E50" s="1666"/>
      <c r="F50" s="1666"/>
      <c r="G50" s="1666"/>
      <c r="H50" s="2008"/>
      <c r="I50" s="847">
        <f t="shared" si="4"/>
        <v>0</v>
      </c>
    </row>
    <row r="51" spans="1:15" ht="11.25" customHeight="1" x14ac:dyDescent="0.25">
      <c r="A51" s="1913"/>
      <c r="B51" s="182"/>
      <c r="C51" s="1940"/>
      <c r="D51" s="1666"/>
      <c r="E51" s="1666"/>
      <c r="F51" s="1666"/>
      <c r="G51" s="1666"/>
      <c r="H51" s="2008"/>
      <c r="I51" s="847">
        <f t="shared" si="4"/>
        <v>0</v>
      </c>
    </row>
    <row r="52" spans="1:15" ht="11.25" customHeight="1" x14ac:dyDescent="0.25">
      <c r="A52" s="1913"/>
      <c r="B52" s="182"/>
      <c r="C52" s="1940"/>
      <c r="D52" s="1666"/>
      <c r="E52" s="1666"/>
      <c r="F52" s="1666"/>
      <c r="G52" s="1666"/>
      <c r="H52" s="2008"/>
      <c r="I52" s="847">
        <f t="shared" si="4"/>
        <v>0</v>
      </c>
    </row>
    <row r="53" spans="1:15" ht="11.25" customHeight="1" x14ac:dyDescent="0.25">
      <c r="A53" s="1913"/>
      <c r="B53" s="182"/>
      <c r="C53" s="1940"/>
      <c r="D53" s="1666"/>
      <c r="E53" s="1666"/>
      <c r="F53" s="1666"/>
      <c r="G53" s="1666"/>
      <c r="H53" s="2008"/>
      <c r="I53" s="847">
        <f t="shared" si="4"/>
        <v>0</v>
      </c>
    </row>
    <row r="54" spans="1:15" ht="11.25" customHeight="1" x14ac:dyDescent="0.25">
      <c r="A54" s="1913"/>
      <c r="B54" s="182"/>
      <c r="C54" s="1940"/>
      <c r="D54" s="1666"/>
      <c r="E54" s="1666"/>
      <c r="F54" s="1666"/>
      <c r="G54" s="1666"/>
      <c r="H54" s="2008"/>
      <c r="I54" s="847">
        <f t="shared" si="4"/>
        <v>0</v>
      </c>
    </row>
    <row r="55" spans="1:15" ht="11.25" customHeight="1" x14ac:dyDescent="0.25">
      <c r="A55" s="797" t="s">
        <v>325</v>
      </c>
      <c r="B55" s="798" t="s">
        <v>2273</v>
      </c>
      <c r="C55" s="845">
        <f>SUM(C38:C54)</f>
        <v>0</v>
      </c>
      <c r="D55" s="842">
        <f t="shared" ref="D55:I55" si="5">SUM(D39:D54)</f>
        <v>0</v>
      </c>
      <c r="E55" s="841">
        <f t="shared" si="5"/>
        <v>0</v>
      </c>
      <c r="F55" s="842">
        <f t="shared" si="5"/>
        <v>0</v>
      </c>
      <c r="G55" s="841">
        <f t="shared" si="5"/>
        <v>0</v>
      </c>
      <c r="H55" s="846"/>
      <c r="I55" s="843">
        <f t="shared" si="5"/>
        <v>0</v>
      </c>
    </row>
    <row r="56" spans="1:15" x14ac:dyDescent="0.25">
      <c r="A56" s="273"/>
      <c r="B56" s="182"/>
      <c r="C56" s="836"/>
      <c r="D56" s="837"/>
      <c r="E56" s="837"/>
      <c r="F56" s="837"/>
      <c r="G56" s="837"/>
      <c r="H56" s="848"/>
      <c r="I56" s="838"/>
    </row>
    <row r="57" spans="1:15" s="769" customFormat="1" ht="21" x14ac:dyDescent="0.25">
      <c r="A57" s="849" t="s">
        <v>282</v>
      </c>
      <c r="B57" s="774">
        <v>10</v>
      </c>
      <c r="C57" s="850">
        <f t="shared" ref="C57:I57" si="6">C11+C35+C55</f>
        <v>0</v>
      </c>
      <c r="D57" s="851">
        <f t="shared" si="6"/>
        <v>2064769.66</v>
      </c>
      <c r="E57" s="851">
        <f t="shared" si="6"/>
        <v>433633.63740000001</v>
      </c>
      <c r="F57" s="851">
        <f t="shared" si="6"/>
        <v>749811.1605</v>
      </c>
      <c r="G57" s="851">
        <f t="shared" si="6"/>
        <v>0</v>
      </c>
      <c r="H57" s="852"/>
      <c r="I57" s="853">
        <f t="shared" si="6"/>
        <v>3248214.4579000003</v>
      </c>
    </row>
    <row r="58" spans="1:15" ht="5.15" customHeight="1" x14ac:dyDescent="0.25">
      <c r="A58" s="653"/>
      <c r="B58" s="236"/>
      <c r="C58" s="236"/>
      <c r="D58" s="309"/>
      <c r="E58" s="309"/>
      <c r="F58" s="309"/>
      <c r="G58" s="309"/>
      <c r="H58" s="309"/>
      <c r="I58" s="309"/>
      <c r="J58" s="246"/>
      <c r="K58" s="246"/>
      <c r="L58" s="246"/>
    </row>
    <row r="59" spans="1:15" s="709" customFormat="1" x14ac:dyDescent="0.25">
      <c r="A59" s="1261" t="str">
        <f>head27a</f>
        <v>References</v>
      </c>
      <c r="B59" s="1038"/>
      <c r="C59" s="1038"/>
      <c r="D59" s="1079"/>
      <c r="E59" s="1079"/>
      <c r="F59" s="1079"/>
      <c r="G59" s="1079"/>
      <c r="H59" s="1079"/>
      <c r="I59" s="1079"/>
      <c r="J59" s="1061"/>
      <c r="K59" s="1061"/>
      <c r="L59" s="1061"/>
    </row>
    <row r="60" spans="1:15" s="1086" customFormat="1" x14ac:dyDescent="0.25">
      <c r="A60" s="2520" t="s">
        <v>967</v>
      </c>
      <c r="B60" s="2521"/>
      <c r="C60" s="2521"/>
    </row>
    <row r="61" spans="1:15" s="709" customFormat="1" x14ac:dyDescent="0.25">
      <c r="A61" s="1418" t="s">
        <v>2243</v>
      </c>
      <c r="B61" s="1048"/>
      <c r="C61" s="1048"/>
      <c r="O61" s="1086"/>
    </row>
    <row r="62" spans="1:15" s="709" customFormat="1" x14ac:dyDescent="0.25">
      <c r="A62" s="1418" t="s">
        <v>2244</v>
      </c>
      <c r="B62" s="1048"/>
      <c r="C62" s="1048"/>
    </row>
    <row r="63" spans="1:15" s="709" customFormat="1" x14ac:dyDescent="0.25">
      <c r="A63" s="1418" t="s">
        <v>2245</v>
      </c>
      <c r="B63" s="1048"/>
      <c r="C63" s="1048"/>
    </row>
    <row r="64" spans="1:15" s="709" customFormat="1" x14ac:dyDescent="0.25">
      <c r="A64" s="1418" t="s">
        <v>459</v>
      </c>
      <c r="B64" s="1048"/>
      <c r="C64" s="1048"/>
    </row>
    <row r="65" spans="1:3" s="709" customFormat="1" x14ac:dyDescent="0.25">
      <c r="A65" s="1418" t="s">
        <v>2246</v>
      </c>
      <c r="B65" s="1048"/>
      <c r="C65" s="1048"/>
    </row>
    <row r="66" spans="1:3" s="709" customFormat="1" x14ac:dyDescent="0.25">
      <c r="A66" s="1418" t="s">
        <v>2247</v>
      </c>
      <c r="B66" s="1048"/>
      <c r="C66" s="1048"/>
    </row>
    <row r="67" spans="1:3" s="709" customFormat="1" x14ac:dyDescent="0.25">
      <c r="A67" s="1418" t="s">
        <v>2248</v>
      </c>
      <c r="B67" s="1048"/>
      <c r="C67" s="1048"/>
    </row>
    <row r="68" spans="1:3" s="709" customFormat="1" x14ac:dyDescent="0.25">
      <c r="A68" s="1418" t="s">
        <v>2249</v>
      </c>
      <c r="B68" s="1048"/>
      <c r="C68" s="1048"/>
    </row>
    <row r="69" spans="1:3" s="709" customFormat="1" x14ac:dyDescent="0.25">
      <c r="A69" s="1418" t="s">
        <v>2250</v>
      </c>
      <c r="B69" s="1048"/>
      <c r="C69" s="1048"/>
    </row>
    <row r="70" spans="1:3" s="709" customFormat="1" x14ac:dyDescent="0.25">
      <c r="A70" s="1418" t="s">
        <v>2272</v>
      </c>
      <c r="B70" s="1048"/>
      <c r="C70" s="1048"/>
    </row>
  </sheetData>
  <sheetProtection password="C646" sheet="1" objects="1" scenarios="1"/>
  <mergeCells count="4">
    <mergeCell ref="C2:C3"/>
    <mergeCell ref="F2:F3"/>
    <mergeCell ref="D2:D3"/>
    <mergeCell ref="G2:G3"/>
  </mergeCells>
  <phoneticPr fontId="2"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5:F10 D14:H19 D22:H34 D39:H54">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0" orientation="portrait" r:id="rId1"/>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enableFormatConditionsCalculation="0">
    <tabColor indexed="42"/>
    <pageSetUpPr fitToPage="1"/>
  </sheetPr>
  <dimension ref="A1:O53"/>
  <sheetViews>
    <sheetView showGridLines="0" zoomScaleNormal="100" workbookViewId="0">
      <pane ySplit="3" topLeftCell="A40" activePane="bottomLeft" state="frozen"/>
      <selection pane="bottomLeft" activeCell="H21" sqref="H21"/>
    </sheetView>
  </sheetViews>
  <sheetFormatPr defaultColWidth="9.1796875" defaultRowHeight="10.5" x14ac:dyDescent="0.25"/>
  <cols>
    <col min="1" max="1" width="37.7265625" style="149" customWidth="1"/>
    <col min="2" max="2" width="3.54296875" style="247" customWidth="1"/>
    <col min="3" max="11" width="8.7265625" style="149" customWidth="1"/>
    <col min="12" max="12" width="9.81640625" style="149" customWidth="1"/>
    <col min="13" max="13" width="9.54296875" style="149" customWidth="1"/>
    <col min="14" max="14" width="9.81640625" style="149" customWidth="1"/>
    <col min="15" max="17" width="9.54296875" style="149" customWidth="1"/>
    <col min="18" max="18" width="9.81640625" style="149" customWidth="1"/>
    <col min="19" max="21" width="9.54296875" style="149" customWidth="1"/>
    <col min="22" max="23" width="9.81640625" style="149" customWidth="1"/>
    <col min="24" max="16384" width="9.1796875" style="149"/>
  </cols>
  <sheetData>
    <row r="1" spans="1:12" ht="13.5" customHeight="1" x14ac:dyDescent="0.3">
      <c r="A1" s="147" t="str">
        <f>muni&amp;" - "&amp;TableA24</f>
        <v>KZN225 Msunduzi - Supporting Table SA24 Summary of personnel numbers</v>
      </c>
      <c r="B1" s="147"/>
      <c r="C1" s="147"/>
      <c r="D1" s="147"/>
      <c r="E1" s="147"/>
      <c r="F1" s="147"/>
      <c r="G1" s="147"/>
      <c r="H1" s="147"/>
      <c r="I1" s="147"/>
      <c r="J1" s="147"/>
      <c r="K1" s="147"/>
    </row>
    <row r="2" spans="1:12" ht="28.5" customHeight="1" x14ac:dyDescent="0.25">
      <c r="A2" s="985" t="s">
        <v>681</v>
      </c>
      <c r="B2" s="419" t="str">
        <f>head27</f>
        <v>Ref</v>
      </c>
      <c r="C2" s="2744" t="str">
        <f>Head1</f>
        <v>2011/12</v>
      </c>
      <c r="D2" s="2745"/>
      <c r="E2" s="2746"/>
      <c r="F2" s="2677" t="str">
        <f>Head2</f>
        <v>Current Year 2012/13</v>
      </c>
      <c r="G2" s="2678"/>
      <c r="H2" s="2678"/>
      <c r="I2" s="2674" t="str">
        <f>Head9</f>
        <v>Budget Year 2013/14</v>
      </c>
      <c r="J2" s="2675"/>
      <c r="K2" s="2676"/>
      <c r="L2" s="370"/>
    </row>
    <row r="3" spans="1:12" ht="21" x14ac:dyDescent="0.25">
      <c r="A3" s="180" t="s">
        <v>1679</v>
      </c>
      <c r="B3" s="986" t="s">
        <v>1942</v>
      </c>
      <c r="C3" s="390" t="s">
        <v>445</v>
      </c>
      <c r="D3" s="999" t="s">
        <v>949</v>
      </c>
      <c r="E3" s="391" t="s">
        <v>446</v>
      </c>
      <c r="F3" s="390" t="s">
        <v>445</v>
      </c>
      <c r="G3" s="999" t="s">
        <v>949</v>
      </c>
      <c r="H3" s="391" t="s">
        <v>446</v>
      </c>
      <c r="I3" s="390" t="s">
        <v>445</v>
      </c>
      <c r="J3" s="999" t="s">
        <v>949</v>
      </c>
      <c r="K3" s="391" t="s">
        <v>446</v>
      </c>
      <c r="L3" s="370"/>
    </row>
    <row r="4" spans="1:12" x14ac:dyDescent="0.25">
      <c r="A4" s="650" t="s">
        <v>447</v>
      </c>
      <c r="B4" s="182"/>
      <c r="C4" s="837"/>
      <c r="D4" s="837"/>
      <c r="E4" s="854"/>
      <c r="F4" s="855"/>
      <c r="G4" s="837"/>
      <c r="H4" s="856"/>
      <c r="I4" s="848"/>
      <c r="J4" s="837"/>
      <c r="K4" s="854"/>
      <c r="L4" s="370"/>
    </row>
    <row r="5" spans="1:12" ht="11.25" customHeight="1" x14ac:dyDescent="0.25">
      <c r="A5" s="250" t="s">
        <v>910</v>
      </c>
      <c r="B5" s="182"/>
      <c r="C5" s="1663">
        <v>73</v>
      </c>
      <c r="D5" s="1666">
        <v>73</v>
      </c>
      <c r="E5" s="1894"/>
      <c r="F5" s="1668">
        <v>73</v>
      </c>
      <c r="G5" s="1666">
        <v>73</v>
      </c>
      <c r="H5" s="1894"/>
      <c r="I5" s="1668">
        <v>73</v>
      </c>
      <c r="J5" s="1666">
        <v>73</v>
      </c>
      <c r="K5" s="1667"/>
      <c r="L5" s="370"/>
    </row>
    <row r="6" spans="1:12" ht="11.25" customHeight="1" x14ac:dyDescent="0.25">
      <c r="A6" s="254" t="s">
        <v>1403</v>
      </c>
      <c r="B6" s="182">
        <v>4</v>
      </c>
      <c r="C6" s="1663"/>
      <c r="D6" s="1666"/>
      <c r="E6" s="1894"/>
      <c r="F6" s="1668"/>
      <c r="G6" s="1666"/>
      <c r="H6" s="1894"/>
      <c r="I6" s="1668"/>
      <c r="J6" s="1666"/>
      <c r="K6" s="1667"/>
      <c r="L6" s="370"/>
    </row>
    <row r="7" spans="1:12" ht="11.25" customHeight="1" x14ac:dyDescent="0.25">
      <c r="A7" s="650" t="s">
        <v>1404</v>
      </c>
      <c r="B7" s="182">
        <v>5</v>
      </c>
      <c r="C7" s="1663"/>
      <c r="D7" s="1666"/>
      <c r="E7" s="1894"/>
      <c r="F7" s="1668"/>
      <c r="G7" s="1666"/>
      <c r="H7" s="1894"/>
      <c r="I7" s="1668"/>
      <c r="J7" s="1666"/>
      <c r="K7" s="1667"/>
      <c r="L7" s="370"/>
    </row>
    <row r="8" spans="1:12" ht="11.25" customHeight="1" x14ac:dyDescent="0.25">
      <c r="A8" s="254" t="s">
        <v>1405</v>
      </c>
      <c r="B8" s="182">
        <v>3</v>
      </c>
      <c r="C8" s="1663">
        <v>6</v>
      </c>
      <c r="D8" s="1666">
        <v>1</v>
      </c>
      <c r="E8" s="1894">
        <v>4</v>
      </c>
      <c r="F8" s="1668">
        <v>5</v>
      </c>
      <c r="G8" s="1666">
        <v>30</v>
      </c>
      <c r="H8" s="1894"/>
      <c r="I8" s="1668">
        <v>5</v>
      </c>
      <c r="J8" s="1666">
        <v>5</v>
      </c>
      <c r="K8" s="1667"/>
      <c r="L8" s="370"/>
    </row>
    <row r="9" spans="1:12" ht="11.25" customHeight="1" x14ac:dyDescent="0.25">
      <c r="A9" s="254" t="s">
        <v>561</v>
      </c>
      <c r="B9" s="182">
        <v>7</v>
      </c>
      <c r="C9" s="1663">
        <v>114</v>
      </c>
      <c r="D9" s="1666">
        <v>114</v>
      </c>
      <c r="E9" s="1894"/>
      <c r="F9" s="1668">
        <v>80</v>
      </c>
      <c r="G9" s="1666"/>
      <c r="H9" s="1894"/>
      <c r="I9" s="1668">
        <v>80</v>
      </c>
      <c r="J9" s="1666">
        <v>80</v>
      </c>
      <c r="K9" s="1667"/>
      <c r="L9" s="370"/>
    </row>
    <row r="10" spans="1:12" ht="11.25" customHeight="1" x14ac:dyDescent="0.25">
      <c r="A10" s="254" t="s">
        <v>1406</v>
      </c>
      <c r="B10" s="182"/>
      <c r="C10" s="1174">
        <f>SUM(C11:C19)</f>
        <v>3030</v>
      </c>
      <c r="D10" s="1174">
        <f t="shared" ref="D10:K10" si="0">SUM(D11:D19)</f>
        <v>3030</v>
      </c>
      <c r="E10" s="1175">
        <f t="shared" si="0"/>
        <v>0</v>
      </c>
      <c r="F10" s="1176">
        <f t="shared" si="0"/>
        <v>2777</v>
      </c>
      <c r="G10" s="1174">
        <f t="shared" si="0"/>
        <v>2584</v>
      </c>
      <c r="H10" s="1177">
        <f t="shared" si="0"/>
        <v>0</v>
      </c>
      <c r="I10" s="1178">
        <f t="shared" si="0"/>
        <v>2777</v>
      </c>
      <c r="J10" s="1174">
        <f t="shared" si="0"/>
        <v>2777</v>
      </c>
      <c r="K10" s="1175">
        <f t="shared" si="0"/>
        <v>0</v>
      </c>
      <c r="L10" s="370"/>
    </row>
    <row r="11" spans="1:12" ht="11.25" customHeight="1" x14ac:dyDescent="0.25">
      <c r="A11" s="1471" t="s">
        <v>1816</v>
      </c>
      <c r="B11" s="182"/>
      <c r="C11" s="1663">
        <v>170</v>
      </c>
      <c r="D11" s="1666">
        <v>170</v>
      </c>
      <c r="E11" s="1894"/>
      <c r="F11" s="1668">
        <v>152</v>
      </c>
      <c r="G11" s="1666">
        <v>199</v>
      </c>
      <c r="H11" s="1894"/>
      <c r="I11" s="1668">
        <v>152</v>
      </c>
      <c r="J11" s="1666">
        <v>152</v>
      </c>
      <c r="K11" s="1667"/>
      <c r="L11" s="370"/>
    </row>
    <row r="12" spans="1:12" ht="11.25" customHeight="1" x14ac:dyDescent="0.25">
      <c r="A12" s="1471" t="s">
        <v>1407</v>
      </c>
      <c r="B12" s="182"/>
      <c r="C12" s="1663"/>
      <c r="D12" s="1666"/>
      <c r="E12" s="1894"/>
      <c r="F12" s="1668">
        <v>14</v>
      </c>
      <c r="G12" s="1666">
        <v>13</v>
      </c>
      <c r="H12" s="1894"/>
      <c r="I12" s="1668">
        <v>14</v>
      </c>
      <c r="J12" s="1666">
        <v>14</v>
      </c>
      <c r="K12" s="1667"/>
      <c r="L12" s="370"/>
    </row>
    <row r="13" spans="1:12" ht="11.25" customHeight="1" x14ac:dyDescent="0.25">
      <c r="A13" s="1471" t="s">
        <v>337</v>
      </c>
      <c r="B13" s="182"/>
      <c r="C13" s="1663">
        <v>11</v>
      </c>
      <c r="D13" s="1666">
        <v>11</v>
      </c>
      <c r="E13" s="1894"/>
      <c r="F13" s="1668">
        <v>9</v>
      </c>
      <c r="G13" s="1666">
        <v>6</v>
      </c>
      <c r="H13" s="1894"/>
      <c r="I13" s="1668">
        <v>9</v>
      </c>
      <c r="J13" s="1666">
        <v>9</v>
      </c>
      <c r="K13" s="1667"/>
      <c r="L13" s="370"/>
    </row>
    <row r="14" spans="1:12" ht="11.25" customHeight="1" x14ac:dyDescent="0.25">
      <c r="A14" s="1471" t="s">
        <v>734</v>
      </c>
      <c r="B14" s="182"/>
      <c r="C14" s="1663">
        <v>285</v>
      </c>
      <c r="D14" s="1666">
        <v>285</v>
      </c>
      <c r="E14" s="1894"/>
      <c r="F14" s="1668">
        <v>126</v>
      </c>
      <c r="G14" s="1666">
        <v>67</v>
      </c>
      <c r="H14" s="1894"/>
      <c r="I14" s="1668">
        <v>126</v>
      </c>
      <c r="J14" s="1666">
        <v>126</v>
      </c>
      <c r="K14" s="1667"/>
      <c r="L14" s="370"/>
    </row>
    <row r="15" spans="1:12" ht="11.25" customHeight="1" x14ac:dyDescent="0.25">
      <c r="A15" s="1471" t="s">
        <v>652</v>
      </c>
      <c r="B15" s="182"/>
      <c r="C15" s="1663">
        <v>276</v>
      </c>
      <c r="D15" s="1666">
        <v>276</v>
      </c>
      <c r="E15" s="1894"/>
      <c r="F15" s="1668">
        <v>234</v>
      </c>
      <c r="G15" s="1666">
        <v>226</v>
      </c>
      <c r="H15" s="1894"/>
      <c r="I15" s="1668">
        <v>234</v>
      </c>
      <c r="J15" s="1666">
        <v>234</v>
      </c>
      <c r="K15" s="1667"/>
      <c r="L15" s="370"/>
    </row>
    <row r="16" spans="1:12" ht="11.25" customHeight="1" x14ac:dyDescent="0.25">
      <c r="A16" s="1471" t="s">
        <v>953</v>
      </c>
      <c r="B16" s="182"/>
      <c r="C16" s="1663">
        <v>173</v>
      </c>
      <c r="D16" s="1666">
        <v>173</v>
      </c>
      <c r="E16" s="1894"/>
      <c r="F16" s="1668">
        <v>23</v>
      </c>
      <c r="G16" s="1666">
        <v>169</v>
      </c>
      <c r="H16" s="1894"/>
      <c r="I16" s="1668">
        <v>23</v>
      </c>
      <c r="J16" s="1666">
        <v>23</v>
      </c>
      <c r="K16" s="1667"/>
      <c r="L16" s="370"/>
    </row>
    <row r="17" spans="1:12" ht="11.25" customHeight="1" x14ac:dyDescent="0.25">
      <c r="A17" s="1471" t="s">
        <v>954</v>
      </c>
      <c r="B17" s="182"/>
      <c r="C17" s="1663">
        <v>93</v>
      </c>
      <c r="D17" s="1666">
        <v>93</v>
      </c>
      <c r="E17" s="1894"/>
      <c r="F17" s="1668">
        <v>75</v>
      </c>
      <c r="G17" s="1666">
        <v>68</v>
      </c>
      <c r="H17" s="1894"/>
      <c r="I17" s="1668">
        <v>75</v>
      </c>
      <c r="J17" s="1666">
        <v>75</v>
      </c>
      <c r="K17" s="1667"/>
      <c r="L17" s="370"/>
    </row>
    <row r="18" spans="1:12" ht="11.25" customHeight="1" x14ac:dyDescent="0.25">
      <c r="A18" s="1471" t="s">
        <v>1287</v>
      </c>
      <c r="B18" s="182"/>
      <c r="C18" s="1663">
        <v>330</v>
      </c>
      <c r="D18" s="1666">
        <v>330</v>
      </c>
      <c r="E18" s="1894"/>
      <c r="F18" s="1668">
        <v>376</v>
      </c>
      <c r="G18" s="1666">
        <v>369</v>
      </c>
      <c r="H18" s="1894"/>
      <c r="I18" s="1668">
        <v>376</v>
      </c>
      <c r="J18" s="1666">
        <v>376</v>
      </c>
      <c r="K18" s="1667"/>
      <c r="L18" s="370"/>
    </row>
    <row r="19" spans="1:12" ht="11.25" customHeight="1" x14ac:dyDescent="0.25">
      <c r="A19" s="1471" t="s">
        <v>292</v>
      </c>
      <c r="B19" s="182"/>
      <c r="C19" s="1663">
        <v>1692</v>
      </c>
      <c r="D19" s="1666">
        <v>1692</v>
      </c>
      <c r="E19" s="1894"/>
      <c r="F19" s="1668">
        <v>1768</v>
      </c>
      <c r="G19" s="1666">
        <v>1467</v>
      </c>
      <c r="H19" s="1894"/>
      <c r="I19" s="1668">
        <v>1768</v>
      </c>
      <c r="J19" s="1666">
        <v>1768</v>
      </c>
      <c r="K19" s="1667"/>
      <c r="L19" s="370"/>
    </row>
    <row r="20" spans="1:12" ht="11.25" customHeight="1" x14ac:dyDescent="0.25">
      <c r="A20" s="254" t="s">
        <v>1408</v>
      </c>
      <c r="B20" s="182"/>
      <c r="C20" s="1174">
        <f>SUM(C21:C29)</f>
        <v>0</v>
      </c>
      <c r="D20" s="1174">
        <f t="shared" ref="D20:K20" si="1">SUM(D21:D29)</f>
        <v>0</v>
      </c>
      <c r="E20" s="1175">
        <f t="shared" si="1"/>
        <v>0</v>
      </c>
      <c r="F20" s="1176">
        <f t="shared" si="1"/>
        <v>0</v>
      </c>
      <c r="G20" s="1174">
        <f t="shared" si="1"/>
        <v>0</v>
      </c>
      <c r="H20" s="1177">
        <f t="shared" si="1"/>
        <v>0</v>
      </c>
      <c r="I20" s="1178">
        <f t="shared" si="1"/>
        <v>0</v>
      </c>
      <c r="J20" s="1174">
        <f t="shared" si="1"/>
        <v>0</v>
      </c>
      <c r="K20" s="1175">
        <f t="shared" si="1"/>
        <v>0</v>
      </c>
      <c r="L20" s="370"/>
    </row>
    <row r="21" spans="1:12" ht="11.25" customHeight="1" x14ac:dyDescent="0.25">
      <c r="A21" s="1471" t="s">
        <v>1816</v>
      </c>
      <c r="B21" s="182"/>
      <c r="C21" s="1666"/>
      <c r="D21" s="1666"/>
      <c r="E21" s="1667"/>
      <c r="F21" s="1663"/>
      <c r="G21" s="1666"/>
      <c r="H21" s="1894"/>
      <c r="I21" s="1668"/>
      <c r="J21" s="1666"/>
      <c r="K21" s="1667"/>
      <c r="L21" s="370"/>
    </row>
    <row r="22" spans="1:12" ht="11.25" customHeight="1" x14ac:dyDescent="0.25">
      <c r="A22" s="1471" t="s">
        <v>1407</v>
      </c>
      <c r="B22" s="182"/>
      <c r="C22" s="1666"/>
      <c r="D22" s="1666"/>
      <c r="E22" s="1667"/>
      <c r="F22" s="1663"/>
      <c r="G22" s="1666"/>
      <c r="H22" s="1894"/>
      <c r="I22" s="1668"/>
      <c r="J22" s="1666"/>
      <c r="K22" s="1667"/>
      <c r="L22" s="370"/>
    </row>
    <row r="23" spans="1:12" ht="11.25" customHeight="1" x14ac:dyDescent="0.25">
      <c r="A23" s="1471" t="s">
        <v>337</v>
      </c>
      <c r="B23" s="182"/>
      <c r="C23" s="1666"/>
      <c r="D23" s="1666"/>
      <c r="E23" s="1667"/>
      <c r="F23" s="1663"/>
      <c r="G23" s="1666"/>
      <c r="H23" s="1894"/>
      <c r="I23" s="1668"/>
      <c r="J23" s="1666"/>
      <c r="K23" s="1667"/>
      <c r="L23" s="370"/>
    </row>
    <row r="24" spans="1:12" ht="11.25" customHeight="1" x14ac:dyDescent="0.25">
      <c r="A24" s="1471" t="s">
        <v>734</v>
      </c>
      <c r="B24" s="182"/>
      <c r="C24" s="1666"/>
      <c r="D24" s="1666"/>
      <c r="E24" s="1667"/>
      <c r="F24" s="1663"/>
      <c r="G24" s="1666"/>
      <c r="H24" s="1894"/>
      <c r="I24" s="1668"/>
      <c r="J24" s="1666"/>
      <c r="K24" s="1667"/>
      <c r="L24" s="370"/>
    </row>
    <row r="25" spans="1:12" ht="11.25" customHeight="1" x14ac:dyDescent="0.25">
      <c r="A25" s="1471" t="s">
        <v>652</v>
      </c>
      <c r="B25" s="182"/>
      <c r="C25" s="1666"/>
      <c r="D25" s="1666"/>
      <c r="E25" s="1667"/>
      <c r="F25" s="1663"/>
      <c r="G25" s="1666"/>
      <c r="H25" s="1894"/>
      <c r="I25" s="1668"/>
      <c r="J25" s="1666"/>
      <c r="K25" s="1667"/>
      <c r="L25" s="370"/>
    </row>
    <row r="26" spans="1:12" ht="11.25" customHeight="1" x14ac:dyDescent="0.25">
      <c r="A26" s="1471" t="s">
        <v>953</v>
      </c>
      <c r="B26" s="182"/>
      <c r="C26" s="1666"/>
      <c r="D26" s="1666"/>
      <c r="E26" s="1667"/>
      <c r="F26" s="1663"/>
      <c r="G26" s="1666"/>
      <c r="H26" s="1894"/>
      <c r="I26" s="1668"/>
      <c r="J26" s="1666"/>
      <c r="K26" s="1667"/>
      <c r="L26" s="370"/>
    </row>
    <row r="27" spans="1:12" ht="11.25" customHeight="1" x14ac:dyDescent="0.25">
      <c r="A27" s="1471" t="s">
        <v>954</v>
      </c>
      <c r="B27" s="182"/>
      <c r="C27" s="1666"/>
      <c r="D27" s="1666"/>
      <c r="E27" s="1667"/>
      <c r="F27" s="1663"/>
      <c r="G27" s="1666"/>
      <c r="H27" s="1894"/>
      <c r="I27" s="1668"/>
      <c r="J27" s="1666"/>
      <c r="K27" s="1667"/>
      <c r="L27" s="370"/>
    </row>
    <row r="28" spans="1:12" ht="11.25" customHeight="1" x14ac:dyDescent="0.25">
      <c r="A28" s="1471" t="s">
        <v>1287</v>
      </c>
      <c r="B28" s="182"/>
      <c r="C28" s="1666"/>
      <c r="D28" s="1666"/>
      <c r="E28" s="1667"/>
      <c r="F28" s="1663"/>
      <c r="G28" s="1666"/>
      <c r="H28" s="1894"/>
      <c r="I28" s="1668"/>
      <c r="J28" s="1666"/>
      <c r="K28" s="1667"/>
      <c r="L28" s="370"/>
    </row>
    <row r="29" spans="1:12" ht="11.25" customHeight="1" x14ac:dyDescent="0.25">
      <c r="A29" s="1471" t="s">
        <v>292</v>
      </c>
      <c r="B29" s="182"/>
      <c r="C29" s="1666"/>
      <c r="D29" s="1666"/>
      <c r="E29" s="1667"/>
      <c r="F29" s="1663"/>
      <c r="G29" s="1666"/>
      <c r="H29" s="1894"/>
      <c r="I29" s="1668"/>
      <c r="J29" s="1666"/>
      <c r="K29" s="1667"/>
      <c r="L29" s="370"/>
    </row>
    <row r="30" spans="1:12" ht="11.25" customHeight="1" x14ac:dyDescent="0.25">
      <c r="A30" s="254" t="s">
        <v>1409</v>
      </c>
      <c r="B30" s="182"/>
      <c r="C30" s="1666"/>
      <c r="D30" s="1666"/>
      <c r="E30" s="1667"/>
      <c r="F30" s="1663"/>
      <c r="G30" s="1666"/>
      <c r="H30" s="1894"/>
      <c r="I30" s="1668"/>
      <c r="J30" s="1666"/>
      <c r="K30" s="1667"/>
      <c r="L30" s="370"/>
    </row>
    <row r="31" spans="1:12" ht="11.25" customHeight="1" x14ac:dyDescent="0.25">
      <c r="A31" s="254" t="s">
        <v>1410</v>
      </c>
      <c r="B31" s="182"/>
      <c r="C31" s="1666"/>
      <c r="D31" s="1666"/>
      <c r="E31" s="1667"/>
      <c r="F31" s="1663"/>
      <c r="G31" s="1666"/>
      <c r="H31" s="1894"/>
      <c r="I31" s="1668"/>
      <c r="J31" s="1666"/>
      <c r="K31" s="1667"/>
      <c r="L31" s="370"/>
    </row>
    <row r="32" spans="1:12" ht="11.25" customHeight="1" x14ac:dyDescent="0.25">
      <c r="A32" s="254" t="s">
        <v>812</v>
      </c>
      <c r="B32" s="182"/>
      <c r="C32" s="1666"/>
      <c r="D32" s="1666"/>
      <c r="E32" s="1667"/>
      <c r="F32" s="1663"/>
      <c r="G32" s="1666"/>
      <c r="H32" s="1894"/>
      <c r="I32" s="1668"/>
      <c r="J32" s="1666"/>
      <c r="K32" s="1667"/>
      <c r="L32" s="370"/>
    </row>
    <row r="33" spans="1:15" ht="11.25" customHeight="1" x14ac:dyDescent="0.25">
      <c r="A33" s="254" t="s">
        <v>1411</v>
      </c>
      <c r="B33" s="182"/>
      <c r="C33" s="1666"/>
      <c r="D33" s="1666"/>
      <c r="E33" s="1667"/>
      <c r="F33" s="1663"/>
      <c r="G33" s="1666"/>
      <c r="H33" s="1894"/>
      <c r="I33" s="1668"/>
      <c r="J33" s="1666"/>
      <c r="K33" s="1667"/>
      <c r="L33" s="370"/>
    </row>
    <row r="34" spans="1:15" ht="11.25" customHeight="1" x14ac:dyDescent="0.25">
      <c r="A34" s="254" t="s">
        <v>1412</v>
      </c>
      <c r="B34" s="182"/>
      <c r="C34" s="1666"/>
      <c r="D34" s="1666"/>
      <c r="E34" s="1667"/>
      <c r="F34" s="1663"/>
      <c r="G34" s="1666"/>
      <c r="H34" s="1894"/>
      <c r="I34" s="1668"/>
      <c r="J34" s="1666"/>
      <c r="K34" s="1667"/>
      <c r="L34" s="370"/>
    </row>
    <row r="35" spans="1:15" ht="11.25" customHeight="1" x14ac:dyDescent="0.25">
      <c r="A35" s="254" t="s">
        <v>1413</v>
      </c>
      <c r="B35" s="182"/>
      <c r="C35" s="1666"/>
      <c r="D35" s="1666"/>
      <c r="E35" s="1667"/>
      <c r="F35" s="1663"/>
      <c r="G35" s="1666"/>
      <c r="H35" s="1894"/>
      <c r="I35" s="1668"/>
      <c r="J35" s="1666"/>
      <c r="K35" s="1667"/>
      <c r="L35" s="370"/>
    </row>
    <row r="36" spans="1:15" ht="11.25" customHeight="1" x14ac:dyDescent="0.25">
      <c r="A36" s="818" t="s">
        <v>679</v>
      </c>
      <c r="B36" s="182">
        <v>9</v>
      </c>
      <c r="C36" s="859">
        <f>SUM(C5:C9)+SUM(C11:C19)+SUM(C21:C35)</f>
        <v>3223</v>
      </c>
      <c r="D36" s="859">
        <f t="shared" ref="D36:K36" si="2">SUM(D5:D9)+SUM(D11:D19)+SUM(D21:D35)</f>
        <v>3218</v>
      </c>
      <c r="E36" s="1303">
        <f t="shared" si="2"/>
        <v>4</v>
      </c>
      <c r="F36" s="1304">
        <f t="shared" si="2"/>
        <v>2935</v>
      </c>
      <c r="G36" s="859">
        <f t="shared" si="2"/>
        <v>2687</v>
      </c>
      <c r="H36" s="860">
        <f>SUM(H5:H9)+SUM(H11:H19)+SUM(H21:H35)</f>
        <v>0</v>
      </c>
      <c r="I36" s="1305">
        <f t="shared" si="2"/>
        <v>2935</v>
      </c>
      <c r="J36" s="859">
        <f t="shared" si="2"/>
        <v>2935</v>
      </c>
      <c r="K36" s="860">
        <f t="shared" si="2"/>
        <v>0</v>
      </c>
      <c r="L36" s="370"/>
    </row>
    <row r="37" spans="1:15" ht="11.25" customHeight="1" x14ac:dyDescent="0.25">
      <c r="A37" s="971" t="s">
        <v>925</v>
      </c>
      <c r="B37" s="182"/>
      <c r="C37" s="857"/>
      <c r="D37" s="1306"/>
      <c r="E37" s="1307"/>
      <c r="F37" s="1308">
        <f t="shared" ref="F37:K37" si="3">IF(ISERROR((F36/C36)-1),0,((F36/C36)-1))</f>
        <v>-8.9357741234874388E-2</v>
      </c>
      <c r="G37" s="1309">
        <f t="shared" si="3"/>
        <v>-0.16500932256059664</v>
      </c>
      <c r="H37" s="1310">
        <f t="shared" si="3"/>
        <v>-1</v>
      </c>
      <c r="I37" s="1311">
        <f t="shared" si="3"/>
        <v>0</v>
      </c>
      <c r="J37" s="1309">
        <f t="shared" si="3"/>
        <v>9.229624116114632E-2</v>
      </c>
      <c r="K37" s="1312">
        <f t="shared" si="3"/>
        <v>0</v>
      </c>
      <c r="L37" s="370"/>
      <c r="O37" s="370"/>
    </row>
    <row r="38" spans="1:15" ht="3.75" customHeight="1" x14ac:dyDescent="0.25">
      <c r="A38" s="971"/>
      <c r="B38" s="182"/>
      <c r="C38" s="857"/>
      <c r="D38" s="1309"/>
      <c r="E38" s="1312"/>
      <c r="F38" s="1308"/>
      <c r="G38" s="1309"/>
      <c r="H38" s="1310"/>
      <c r="I38" s="1311"/>
      <c r="J38" s="1309"/>
      <c r="K38" s="1312"/>
      <c r="L38" s="370"/>
    </row>
    <row r="39" spans="1:15" ht="11.25" customHeight="1" x14ac:dyDescent="0.25">
      <c r="A39" s="650" t="s">
        <v>1414</v>
      </c>
      <c r="B39" s="182" t="s">
        <v>2286</v>
      </c>
      <c r="C39" s="1941"/>
      <c r="D39" s="1942"/>
      <c r="E39" s="1943"/>
      <c r="F39" s="1944"/>
      <c r="G39" s="1945"/>
      <c r="H39" s="1946"/>
      <c r="I39" s="1947"/>
      <c r="J39" s="1945"/>
      <c r="K39" s="1948"/>
      <c r="L39" s="370"/>
    </row>
    <row r="40" spans="1:15" ht="11.25" customHeight="1" x14ac:dyDescent="0.25">
      <c r="A40" s="250" t="s">
        <v>1415</v>
      </c>
      <c r="B40" s="182" t="s">
        <v>2287</v>
      </c>
      <c r="C40" s="1941"/>
      <c r="D40" s="1942"/>
      <c r="E40" s="1943"/>
      <c r="F40" s="1944"/>
      <c r="G40" s="1945"/>
      <c r="H40" s="1946"/>
      <c r="I40" s="1947"/>
      <c r="J40" s="1945"/>
      <c r="K40" s="1948"/>
      <c r="L40" s="370"/>
    </row>
    <row r="41" spans="1:15" ht="11.25" customHeight="1" x14ac:dyDescent="0.25">
      <c r="A41" s="1313" t="s">
        <v>1416</v>
      </c>
      <c r="B41" s="382" t="s">
        <v>2287</v>
      </c>
      <c r="C41" s="1949"/>
      <c r="D41" s="1950"/>
      <c r="E41" s="1951"/>
      <c r="F41" s="1952"/>
      <c r="G41" s="1953"/>
      <c r="H41" s="1954"/>
      <c r="I41" s="1955"/>
      <c r="J41" s="1953"/>
      <c r="K41" s="1956"/>
      <c r="L41" s="370"/>
    </row>
    <row r="42" spans="1:15" ht="11.25" customHeight="1" x14ac:dyDescent="0.25">
      <c r="A42" s="653"/>
      <c r="B42" s="236"/>
      <c r="C42" s="309"/>
      <c r="D42" s="309"/>
      <c r="E42" s="309"/>
      <c r="F42" s="309"/>
      <c r="G42" s="309"/>
      <c r="H42" s="309"/>
      <c r="I42" s="309"/>
      <c r="J42" s="309"/>
      <c r="K42" s="309"/>
      <c r="L42" s="370"/>
    </row>
    <row r="43" spans="1:15" ht="11.25" customHeight="1" x14ac:dyDescent="0.25">
      <c r="A43" s="1261" t="str">
        <f>head27a</f>
        <v>References</v>
      </c>
      <c r="B43" s="1038"/>
      <c r="C43" s="1079"/>
      <c r="D43" s="1079"/>
      <c r="E43" s="1079"/>
      <c r="F43" s="1079"/>
      <c r="G43" s="1079"/>
      <c r="H43" s="1079"/>
      <c r="I43" s="1079"/>
      <c r="J43" s="1079"/>
      <c r="K43" s="1079"/>
      <c r="L43" s="370"/>
    </row>
    <row r="44" spans="1:15" ht="11.25" customHeight="1" x14ac:dyDescent="0.25">
      <c r="A44" s="2101" t="s">
        <v>1943</v>
      </c>
      <c r="B44" s="1038"/>
      <c r="C44" s="1079"/>
      <c r="D44" s="1079"/>
      <c r="E44" s="1079"/>
      <c r="F44" s="1079"/>
      <c r="G44" s="1079"/>
      <c r="H44" s="1079"/>
      <c r="I44" s="1079"/>
      <c r="J44" s="1079"/>
      <c r="K44" s="1079"/>
      <c r="L44" s="370"/>
    </row>
    <row r="45" spans="1:15" ht="11.25" customHeight="1" x14ac:dyDescent="0.25">
      <c r="A45" s="1418" t="s">
        <v>1944</v>
      </c>
      <c r="B45" s="1048"/>
      <c r="C45" s="709"/>
      <c r="D45" s="709"/>
      <c r="E45" s="709"/>
      <c r="F45" s="709"/>
      <c r="G45" s="709"/>
      <c r="H45" s="709"/>
      <c r="I45" s="709"/>
      <c r="J45" s="709"/>
      <c r="K45" s="709"/>
    </row>
    <row r="46" spans="1:15" ht="11.25" customHeight="1" x14ac:dyDescent="0.25">
      <c r="A46" s="1418" t="s">
        <v>1945</v>
      </c>
      <c r="B46" s="1048"/>
      <c r="C46" s="709"/>
      <c r="D46" s="709"/>
      <c r="E46" s="709"/>
      <c r="F46" s="709"/>
      <c r="G46" s="709"/>
      <c r="H46" s="709"/>
      <c r="I46" s="709"/>
      <c r="J46" s="709"/>
      <c r="K46" s="709"/>
    </row>
    <row r="47" spans="1:15" ht="11.25" customHeight="1" x14ac:dyDescent="0.25">
      <c r="A47" s="1418" t="s">
        <v>1946</v>
      </c>
      <c r="B47" s="1048"/>
      <c r="C47" s="709"/>
      <c r="D47" s="709"/>
      <c r="E47" s="709"/>
      <c r="F47" s="709"/>
      <c r="G47" s="709"/>
      <c r="H47" s="709"/>
      <c r="I47" s="709"/>
      <c r="J47" s="709"/>
      <c r="K47" s="709"/>
    </row>
    <row r="48" spans="1:15" ht="11.25" customHeight="1" x14ac:dyDescent="0.25">
      <c r="A48" s="1418" t="s">
        <v>1947</v>
      </c>
      <c r="B48" s="1048"/>
      <c r="C48" s="709"/>
      <c r="D48" s="709"/>
      <c r="E48" s="709"/>
      <c r="F48" s="709"/>
      <c r="G48" s="709"/>
      <c r="H48" s="709"/>
      <c r="I48" s="709"/>
      <c r="J48" s="709"/>
      <c r="K48" s="709"/>
    </row>
    <row r="49" spans="1:11" ht="11.25" customHeight="1" x14ac:dyDescent="0.25">
      <c r="A49" s="1418" t="s">
        <v>1948</v>
      </c>
      <c r="B49" s="1048"/>
      <c r="C49" s="709"/>
      <c r="D49" s="709"/>
      <c r="E49" s="709"/>
      <c r="F49" s="709"/>
      <c r="G49" s="709"/>
      <c r="H49" s="709"/>
      <c r="I49" s="709"/>
      <c r="J49" s="709"/>
      <c r="K49" s="709"/>
    </row>
    <row r="50" spans="1:11" ht="11.25" customHeight="1" x14ac:dyDescent="0.25">
      <c r="A50" s="1418" t="s">
        <v>1949</v>
      </c>
      <c r="B50" s="1048"/>
      <c r="C50" s="709"/>
      <c r="D50" s="709"/>
      <c r="E50" s="709"/>
      <c r="F50" s="709"/>
      <c r="G50" s="709"/>
      <c r="H50" s="709"/>
      <c r="I50" s="709"/>
      <c r="J50" s="709"/>
      <c r="K50" s="709"/>
    </row>
    <row r="51" spans="1:11" ht="11.25" customHeight="1" x14ac:dyDescent="0.25">
      <c r="A51" s="1418" t="s">
        <v>1950</v>
      </c>
      <c r="B51" s="1048"/>
      <c r="C51" s="709"/>
      <c r="D51" s="709"/>
      <c r="E51" s="709"/>
      <c r="F51" s="709"/>
      <c r="G51" s="709"/>
      <c r="H51" s="709"/>
      <c r="I51" s="709"/>
      <c r="J51" s="709"/>
      <c r="K51" s="709"/>
    </row>
    <row r="52" spans="1:11" x14ac:dyDescent="0.25">
      <c r="A52" s="1418" t="s">
        <v>2274</v>
      </c>
    </row>
    <row r="53" spans="1:11" x14ac:dyDescent="0.25">
      <c r="A53" s="1418" t="s">
        <v>2285</v>
      </c>
    </row>
  </sheetData>
  <sheetProtection password="C646" sheet="1" objects="1" scenarios="1"/>
  <mergeCells count="3">
    <mergeCell ref="F2:H2"/>
    <mergeCell ref="I2:K2"/>
    <mergeCell ref="C2:E2"/>
  </mergeCells>
  <phoneticPr fontId="2" type="noConversion"/>
  <dataValidations count="1">
    <dataValidation type="decimal" allowBlank="1" showInputMessage="1" showErrorMessage="1" sqref="C5:K9 C11:K19 C21:K35 C39:K41">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enableFormatConditionsCalculation="0">
    <tabColor indexed="42"/>
    <pageSetUpPr fitToPage="1"/>
  </sheetPr>
  <dimension ref="A1:Q49"/>
  <sheetViews>
    <sheetView showGridLines="0" zoomScaleNormal="100" workbookViewId="0">
      <pane xSplit="2" ySplit="3" topLeftCell="F40" activePane="bottomRight" state="frozen"/>
      <selection pane="topRight"/>
      <selection pane="bottomLeft"/>
      <selection pane="bottomRight" activeCell="O55" sqref="O55"/>
    </sheetView>
  </sheetViews>
  <sheetFormatPr defaultColWidth="9.1796875" defaultRowHeight="10.5" x14ac:dyDescent="0.25"/>
  <cols>
    <col min="1" max="1" width="30.7265625" style="149" customWidth="1"/>
    <col min="2" max="2" width="3" style="149" customWidth="1"/>
    <col min="3" max="14" width="8.26953125" style="149" customWidth="1"/>
    <col min="15" max="17" width="9.26953125" style="149" customWidth="1"/>
    <col min="18" max="16384" width="9.1796875" style="149"/>
  </cols>
  <sheetData>
    <row r="1" spans="1:17" ht="13.5" customHeight="1" x14ac:dyDescent="0.3">
      <c r="A1" s="147" t="str">
        <f>muni&amp;" - "&amp; TableA25</f>
        <v>KZN225 Msunduzi - Supporting Table SA25 Consolidated budgeted monthly revenue and expenditure</v>
      </c>
      <c r="B1" s="147"/>
      <c r="C1" s="147"/>
      <c r="D1" s="147"/>
      <c r="E1" s="147"/>
      <c r="F1" s="147"/>
      <c r="G1" s="147"/>
      <c r="H1" s="147"/>
      <c r="I1" s="147"/>
      <c r="J1" s="147"/>
      <c r="K1" s="147"/>
      <c r="L1" s="147"/>
      <c r="M1" s="147"/>
      <c r="N1" s="147"/>
      <c r="O1" s="147"/>
      <c r="P1" s="147"/>
      <c r="Q1" s="147"/>
    </row>
    <row r="2" spans="1:17" ht="28.5" customHeight="1" x14ac:dyDescent="0.25">
      <c r="A2" s="985" t="str">
        <f>desc</f>
        <v>Description</v>
      </c>
      <c r="B2" s="997" t="str">
        <f>head27</f>
        <v>Ref</v>
      </c>
      <c r="C2" s="2677" t="str">
        <f>Head9</f>
        <v>Budget Year 2013/14</v>
      </c>
      <c r="D2" s="2678"/>
      <c r="E2" s="2678"/>
      <c r="F2" s="2678"/>
      <c r="G2" s="2678"/>
      <c r="H2" s="2678"/>
      <c r="I2" s="2678"/>
      <c r="J2" s="2678"/>
      <c r="K2" s="2678"/>
      <c r="L2" s="2678"/>
      <c r="M2" s="2678"/>
      <c r="N2" s="2678"/>
      <c r="O2" s="2674" t="s">
        <v>1790</v>
      </c>
      <c r="P2" s="2675"/>
      <c r="Q2" s="2676"/>
    </row>
    <row r="3" spans="1:17" ht="21" x14ac:dyDescent="0.25">
      <c r="A3" s="992" t="s">
        <v>665</v>
      </c>
      <c r="B3" s="998"/>
      <c r="C3" s="299" t="s">
        <v>723</v>
      </c>
      <c r="D3" s="928" t="s">
        <v>1400</v>
      </c>
      <c r="E3" s="928" t="s">
        <v>1401</v>
      </c>
      <c r="F3" s="928" t="s">
        <v>1402</v>
      </c>
      <c r="G3" s="928" t="s">
        <v>704</v>
      </c>
      <c r="H3" s="928" t="s">
        <v>705</v>
      </c>
      <c r="I3" s="928" t="s">
        <v>706</v>
      </c>
      <c r="J3" s="928" t="s">
        <v>707</v>
      </c>
      <c r="K3" s="928" t="s">
        <v>708</v>
      </c>
      <c r="L3" s="928" t="s">
        <v>709</v>
      </c>
      <c r="M3" s="928" t="s">
        <v>710</v>
      </c>
      <c r="N3" s="391" t="s">
        <v>711</v>
      </c>
      <c r="O3" s="299" t="str">
        <f>Head9</f>
        <v>Budget Year 2013/14</v>
      </c>
      <c r="P3" s="390" t="str">
        <f>Head10</f>
        <v>Budget Year +1 2014/15</v>
      </c>
      <c r="Q3" s="391" t="str">
        <f>Head11</f>
        <v>Budget Year +2 2015/16</v>
      </c>
    </row>
    <row r="4" spans="1:17" x14ac:dyDescent="0.25">
      <c r="A4" s="861" t="str">
        <f>'A4-FinPerf RE'!A4</f>
        <v>Revenue By Source</v>
      </c>
      <c r="B4" s="862"/>
      <c r="C4" s="313"/>
      <c r="D4" s="311"/>
      <c r="E4" s="311"/>
      <c r="F4" s="311"/>
      <c r="G4" s="311"/>
      <c r="H4" s="311"/>
      <c r="I4" s="311"/>
      <c r="J4" s="311"/>
      <c r="K4" s="311"/>
      <c r="L4" s="311"/>
      <c r="M4" s="311"/>
      <c r="N4" s="863"/>
      <c r="O4" s="313"/>
      <c r="P4" s="311"/>
      <c r="Q4" s="314"/>
    </row>
    <row r="5" spans="1:17" ht="11.25" customHeight="1" x14ac:dyDescent="0.25">
      <c r="A5" s="250" t="str">
        <f>'A4-FinPerf RE'!A5</f>
        <v>Property rates</v>
      </c>
      <c r="B5" s="864"/>
      <c r="C5" s="1614">
        <f>O5*0.1</f>
        <v>60810376.600000001</v>
      </c>
      <c r="D5" s="1614">
        <f>O5*0.11</f>
        <v>66891414.259999998</v>
      </c>
      <c r="E5" s="1614">
        <f>O5*0.05</f>
        <v>30405188.300000001</v>
      </c>
      <c r="F5" s="1614">
        <f t="shared" ref="F5:F20" si="0">P5*0.05</f>
        <v>32077473.650000002</v>
      </c>
      <c r="G5" s="1614">
        <f t="shared" ref="G5:G20" si="1">Q5*0.05</f>
        <v>33841734.700000003</v>
      </c>
      <c r="H5" s="1614">
        <f>O5*0.05</f>
        <v>30405188.300000001</v>
      </c>
      <c r="I5" s="1614">
        <f>O5*0.05</f>
        <v>30405188.300000001</v>
      </c>
      <c r="J5" s="1614">
        <f>O5*0.05</f>
        <v>30405188.300000001</v>
      </c>
      <c r="K5" s="1614">
        <f>O5*0.05</f>
        <v>30405188.300000001</v>
      </c>
      <c r="L5" s="1614">
        <f>O5*0.05</f>
        <v>30405188.300000001</v>
      </c>
      <c r="M5" s="1614">
        <f>O5*0.05</f>
        <v>30405188.300000001</v>
      </c>
      <c r="N5" s="808">
        <f t="shared" ref="N5:N21" si="2">O5-SUM(C5:M5)</f>
        <v>201646448.68999994</v>
      </c>
      <c r="O5" s="205">
        <f>'A4-FinPerf RE'!J5</f>
        <v>608103766</v>
      </c>
      <c r="P5" s="203">
        <f>'A4-FinPerf RE'!K5</f>
        <v>641549473</v>
      </c>
      <c r="Q5" s="204">
        <f>'A4-FinPerf RE'!L5</f>
        <v>676834694</v>
      </c>
    </row>
    <row r="6" spans="1:17" ht="11.25" customHeight="1" x14ac:dyDescent="0.25">
      <c r="A6" s="250" t="str">
        <f>'A4-FinPerf RE'!A6</f>
        <v>Property rates - penalties &amp; collection charges</v>
      </c>
      <c r="B6" s="864"/>
      <c r="C6" s="1614">
        <f t="shared" ref="C6:C21" si="3">O6*0.1</f>
        <v>3736300</v>
      </c>
      <c r="D6" s="1614">
        <f t="shared" ref="D6:D20" si="4">O6*0.11</f>
        <v>4109930</v>
      </c>
      <c r="E6" s="1614">
        <f t="shared" ref="E6:E20" si="5">O6*0.05</f>
        <v>1868150</v>
      </c>
      <c r="F6" s="1614">
        <f t="shared" si="0"/>
        <v>1942850</v>
      </c>
      <c r="G6" s="1614">
        <f t="shared" si="1"/>
        <v>2040000</v>
      </c>
      <c r="H6" s="1614">
        <f t="shared" ref="H6:H20" si="6">O6*0.05</f>
        <v>1868150</v>
      </c>
      <c r="I6" s="1614">
        <f t="shared" ref="I6:I20" si="7">O6*0.05</f>
        <v>1868150</v>
      </c>
      <c r="J6" s="1614">
        <f t="shared" ref="J6:J20" si="8">O6*0.05</f>
        <v>1868150</v>
      </c>
      <c r="K6" s="1614">
        <f t="shared" ref="K6:K20" si="9">O6*0.05</f>
        <v>1868150</v>
      </c>
      <c r="L6" s="1614">
        <f t="shared" ref="L6:L20" si="10">O6*0.05</f>
        <v>1868150</v>
      </c>
      <c r="M6" s="1614">
        <f t="shared" ref="M6:M20" si="11">O6*0.05</f>
        <v>1868150</v>
      </c>
      <c r="N6" s="808">
        <f t="shared" si="2"/>
        <v>12456870</v>
      </c>
      <c r="O6" s="205">
        <f>'A4-FinPerf RE'!J6</f>
        <v>37363000</v>
      </c>
      <c r="P6" s="207">
        <f>'A4-FinPerf RE'!K6</f>
        <v>38857000</v>
      </c>
      <c r="Q6" s="264">
        <f>'A4-FinPerf RE'!L6</f>
        <v>40800000</v>
      </c>
    </row>
    <row r="7" spans="1:17" ht="11.25" customHeight="1" x14ac:dyDescent="0.25">
      <c r="A7" s="250" t="str">
        <f>'A4-FinPerf RE'!A7</f>
        <v>Service charges - electricity revenue</v>
      </c>
      <c r="B7" s="864"/>
      <c r="C7" s="1614">
        <f t="shared" si="3"/>
        <v>155882651.20000002</v>
      </c>
      <c r="D7" s="1614">
        <f t="shared" si="4"/>
        <v>171470916.31999999</v>
      </c>
      <c r="E7" s="1614">
        <f t="shared" si="5"/>
        <v>77941325.600000009</v>
      </c>
      <c r="F7" s="1614">
        <f t="shared" si="0"/>
        <v>85735458.150000006</v>
      </c>
      <c r="G7" s="1614">
        <f t="shared" si="1"/>
        <v>94309004</v>
      </c>
      <c r="H7" s="1614">
        <f t="shared" si="6"/>
        <v>77941325.600000009</v>
      </c>
      <c r="I7" s="1614">
        <f t="shared" si="7"/>
        <v>77941325.600000009</v>
      </c>
      <c r="J7" s="1614">
        <f t="shared" si="8"/>
        <v>77941325.600000009</v>
      </c>
      <c r="K7" s="1614">
        <f t="shared" si="9"/>
        <v>77941325.600000009</v>
      </c>
      <c r="L7" s="1614">
        <f t="shared" si="10"/>
        <v>77941325.600000009</v>
      </c>
      <c r="M7" s="1614">
        <f t="shared" si="11"/>
        <v>77941325.600000009</v>
      </c>
      <c r="N7" s="808">
        <f t="shared" si="2"/>
        <v>505839203.12999988</v>
      </c>
      <c r="O7" s="205">
        <f>'A4-FinPerf RE'!J7</f>
        <v>1558826512</v>
      </c>
      <c r="P7" s="207">
        <f>'A4-FinPerf RE'!K7</f>
        <v>1714709163</v>
      </c>
      <c r="Q7" s="264">
        <f>'A4-FinPerf RE'!L7</f>
        <v>1886180080</v>
      </c>
    </row>
    <row r="8" spans="1:17" ht="11.25" customHeight="1" x14ac:dyDescent="0.25">
      <c r="A8" s="250" t="str">
        <f>'A4-FinPerf RE'!A8</f>
        <v>Service charges - water revenue</v>
      </c>
      <c r="B8" s="864"/>
      <c r="C8" s="1614">
        <f t="shared" si="3"/>
        <v>37349979.200000003</v>
      </c>
      <c r="D8" s="1614">
        <f t="shared" si="4"/>
        <v>41084977.119999997</v>
      </c>
      <c r="E8" s="1614">
        <f t="shared" si="5"/>
        <v>18674989.600000001</v>
      </c>
      <c r="F8" s="1614">
        <f t="shared" si="0"/>
        <v>20542488.550000001</v>
      </c>
      <c r="G8" s="1614">
        <f t="shared" si="1"/>
        <v>22596737.450000003</v>
      </c>
      <c r="H8" s="1614">
        <f t="shared" si="6"/>
        <v>18674989.600000001</v>
      </c>
      <c r="I8" s="1614">
        <f t="shared" si="7"/>
        <v>18674989.600000001</v>
      </c>
      <c r="J8" s="1614">
        <f t="shared" si="8"/>
        <v>18674989.600000001</v>
      </c>
      <c r="K8" s="1614">
        <f t="shared" si="9"/>
        <v>18674989.600000001</v>
      </c>
      <c r="L8" s="1614">
        <f t="shared" si="10"/>
        <v>18674989.600000001</v>
      </c>
      <c r="M8" s="1614">
        <f t="shared" si="11"/>
        <v>18674989.600000001</v>
      </c>
      <c r="N8" s="808">
        <f t="shared" si="2"/>
        <v>121200682.48000005</v>
      </c>
      <c r="O8" s="205">
        <f>'A4-FinPerf RE'!J8</f>
        <v>373499792</v>
      </c>
      <c r="P8" s="207">
        <f>'A4-FinPerf RE'!K8</f>
        <v>410849771</v>
      </c>
      <c r="Q8" s="264">
        <f>'A4-FinPerf RE'!L8</f>
        <v>451934749</v>
      </c>
    </row>
    <row r="9" spans="1:17" ht="11.25" customHeight="1" x14ac:dyDescent="0.25">
      <c r="A9" s="250" t="str">
        <f>'A4-FinPerf RE'!A9</f>
        <v>Service charges - sanitation revenue</v>
      </c>
      <c r="B9" s="864"/>
      <c r="C9" s="1614">
        <f t="shared" si="3"/>
        <v>13215279.4</v>
      </c>
      <c r="D9" s="1614">
        <f t="shared" si="4"/>
        <v>14536807.34</v>
      </c>
      <c r="E9" s="1614">
        <f t="shared" si="5"/>
        <v>6607639.7000000002</v>
      </c>
      <c r="F9" s="1614">
        <f t="shared" si="0"/>
        <v>6971059.9000000004</v>
      </c>
      <c r="G9" s="1614">
        <f t="shared" si="1"/>
        <v>7354468.2000000002</v>
      </c>
      <c r="H9" s="1614">
        <f t="shared" si="6"/>
        <v>6607639.7000000002</v>
      </c>
      <c r="I9" s="1614">
        <f t="shared" si="7"/>
        <v>6607639.7000000002</v>
      </c>
      <c r="J9" s="1614">
        <f t="shared" si="8"/>
        <v>6607639.7000000002</v>
      </c>
      <c r="K9" s="1614">
        <f t="shared" si="9"/>
        <v>6607639.7000000002</v>
      </c>
      <c r="L9" s="1614">
        <f t="shared" si="10"/>
        <v>6607639.7000000002</v>
      </c>
      <c r="M9" s="1614">
        <f t="shared" si="11"/>
        <v>6607639.7000000002</v>
      </c>
      <c r="N9" s="808">
        <f t="shared" si="2"/>
        <v>43821701.259999976</v>
      </c>
      <c r="O9" s="205">
        <f>'A4-FinPerf RE'!J9</f>
        <v>132152794</v>
      </c>
      <c r="P9" s="207">
        <f>'A4-FinPerf RE'!K9</f>
        <v>139421198</v>
      </c>
      <c r="Q9" s="264">
        <f>'A4-FinPerf RE'!L9</f>
        <v>147089364</v>
      </c>
    </row>
    <row r="10" spans="1:17" ht="11.25" customHeight="1" x14ac:dyDescent="0.25">
      <c r="A10" s="250" t="str">
        <f>'A4-FinPerf RE'!A10</f>
        <v>Service charges - refuse revenue</v>
      </c>
      <c r="B10" s="864"/>
      <c r="C10" s="1614">
        <f t="shared" si="3"/>
        <v>7759202.9000000004</v>
      </c>
      <c r="D10" s="1614">
        <f t="shared" si="4"/>
        <v>8535123.1899999995</v>
      </c>
      <c r="E10" s="1614">
        <f t="shared" si="5"/>
        <v>3879601.45</v>
      </c>
      <c r="F10" s="1614">
        <f t="shared" si="0"/>
        <v>4092979.5500000003</v>
      </c>
      <c r="G10" s="1614">
        <f t="shared" si="1"/>
        <v>4318093.4000000004</v>
      </c>
      <c r="H10" s="1614">
        <f t="shared" si="6"/>
        <v>3879601.45</v>
      </c>
      <c r="I10" s="1614">
        <f t="shared" si="7"/>
        <v>3879601.45</v>
      </c>
      <c r="J10" s="1614">
        <f t="shared" si="8"/>
        <v>3879601.45</v>
      </c>
      <c r="K10" s="1614">
        <f t="shared" si="9"/>
        <v>3879601.45</v>
      </c>
      <c r="L10" s="1614">
        <f>O10*0.05</f>
        <v>3879601.45</v>
      </c>
      <c r="M10" s="1614">
        <f t="shared" si="11"/>
        <v>3879601.45</v>
      </c>
      <c r="N10" s="808">
        <f t="shared" si="2"/>
        <v>25729419.809999987</v>
      </c>
      <c r="O10" s="205">
        <f>'A4-FinPerf RE'!J10</f>
        <v>77592029</v>
      </c>
      <c r="P10" s="207">
        <f>'A4-FinPerf RE'!K10</f>
        <v>81859591</v>
      </c>
      <c r="Q10" s="264">
        <f>'A4-FinPerf RE'!L10</f>
        <v>86361868</v>
      </c>
    </row>
    <row r="11" spans="1:17" ht="11.25" customHeight="1" x14ac:dyDescent="0.25">
      <c r="A11" s="250" t="str">
        <f>'A4-FinPerf RE'!A11</f>
        <v>Service charges - other</v>
      </c>
      <c r="B11" s="864"/>
      <c r="C11" s="1614">
        <f t="shared" si="3"/>
        <v>0</v>
      </c>
      <c r="D11" s="1614">
        <f t="shared" si="4"/>
        <v>0</v>
      </c>
      <c r="E11" s="1614">
        <f t="shared" si="5"/>
        <v>0</v>
      </c>
      <c r="F11" s="1614">
        <f t="shared" si="0"/>
        <v>0</v>
      </c>
      <c r="G11" s="1614">
        <f t="shared" si="1"/>
        <v>0</v>
      </c>
      <c r="H11" s="1614">
        <f t="shared" si="6"/>
        <v>0</v>
      </c>
      <c r="I11" s="1614">
        <f t="shared" si="7"/>
        <v>0</v>
      </c>
      <c r="J11" s="1614">
        <f t="shared" si="8"/>
        <v>0</v>
      </c>
      <c r="K11" s="1614">
        <f t="shared" si="9"/>
        <v>0</v>
      </c>
      <c r="L11" s="1614">
        <f t="shared" si="10"/>
        <v>0</v>
      </c>
      <c r="M11" s="1614">
        <f t="shared" si="11"/>
        <v>0</v>
      </c>
      <c r="N11" s="808">
        <f t="shared" si="2"/>
        <v>0</v>
      </c>
      <c r="O11" s="205">
        <f>'A4-FinPerf RE'!J11</f>
        <v>0</v>
      </c>
      <c r="P11" s="203">
        <f>'A4-FinPerf RE'!K11</f>
        <v>0</v>
      </c>
      <c r="Q11" s="204">
        <f>'A4-FinPerf RE'!L11</f>
        <v>0</v>
      </c>
    </row>
    <row r="12" spans="1:17" ht="11.25" customHeight="1" x14ac:dyDescent="0.25">
      <c r="A12" s="250" t="str">
        <f>'A4-FinPerf RE'!A12</f>
        <v>Rental of facilities and equipment</v>
      </c>
      <c r="B12" s="864"/>
      <c r="C12" s="1614">
        <f t="shared" si="3"/>
        <v>2634307.9000000004</v>
      </c>
      <c r="D12" s="1614">
        <f t="shared" si="4"/>
        <v>2897738.69</v>
      </c>
      <c r="E12" s="1614">
        <f t="shared" si="5"/>
        <v>1317153.9500000002</v>
      </c>
      <c r="F12" s="1614">
        <f t="shared" si="0"/>
        <v>1448850</v>
      </c>
      <c r="G12" s="1614">
        <f t="shared" si="1"/>
        <v>1593768.1</v>
      </c>
      <c r="H12" s="1614">
        <f t="shared" si="6"/>
        <v>1317153.9500000002</v>
      </c>
      <c r="I12" s="1614">
        <f t="shared" si="7"/>
        <v>1317153.9500000002</v>
      </c>
      <c r="J12" s="1614">
        <f t="shared" si="8"/>
        <v>1317153.9500000002</v>
      </c>
      <c r="K12" s="1614">
        <f t="shared" si="9"/>
        <v>1317153.9500000002</v>
      </c>
      <c r="L12" s="1614">
        <f t="shared" si="10"/>
        <v>1317153.9500000002</v>
      </c>
      <c r="M12" s="1614">
        <f t="shared" si="11"/>
        <v>1317153.9500000002</v>
      </c>
      <c r="N12" s="808">
        <f t="shared" si="2"/>
        <v>8548336.6600000039</v>
      </c>
      <c r="O12" s="205">
        <f>'A4-FinPerf RE'!J12</f>
        <v>26343079</v>
      </c>
      <c r="P12" s="203">
        <f>'A4-FinPerf RE'!K12</f>
        <v>28977000</v>
      </c>
      <c r="Q12" s="204">
        <f>'A4-FinPerf RE'!L12</f>
        <v>31875362</v>
      </c>
    </row>
    <row r="13" spans="1:17" ht="11.25" customHeight="1" x14ac:dyDescent="0.25">
      <c r="A13" s="250" t="str">
        <f>'A4-FinPerf RE'!A13</f>
        <v>Interest earned - external investments</v>
      </c>
      <c r="B13" s="864"/>
      <c r="C13" s="1614">
        <f t="shared" si="3"/>
        <v>1894113.4000000001</v>
      </c>
      <c r="D13" s="1614">
        <f t="shared" si="4"/>
        <v>2083524.74</v>
      </c>
      <c r="E13" s="1614">
        <f t="shared" si="5"/>
        <v>947056.70000000007</v>
      </c>
      <c r="F13" s="1614">
        <f t="shared" si="0"/>
        <v>968312.45000000007</v>
      </c>
      <c r="G13" s="1614">
        <f t="shared" si="1"/>
        <v>1021569.6305637601</v>
      </c>
      <c r="H13" s="1614">
        <f t="shared" si="6"/>
        <v>947056.70000000007</v>
      </c>
      <c r="I13" s="1614">
        <f t="shared" si="7"/>
        <v>947056.70000000007</v>
      </c>
      <c r="J13" s="1614">
        <f t="shared" si="8"/>
        <v>947056.70000000007</v>
      </c>
      <c r="K13" s="1614">
        <f t="shared" si="9"/>
        <v>947056.70000000007</v>
      </c>
      <c r="L13" s="1614">
        <f t="shared" si="10"/>
        <v>947056.70000000007</v>
      </c>
      <c r="M13" s="1614">
        <f t="shared" si="11"/>
        <v>947056.70000000007</v>
      </c>
      <c r="N13" s="808">
        <f t="shared" si="2"/>
        <v>6344216.8794362433</v>
      </c>
      <c r="O13" s="205">
        <f>'A4-FinPerf RE'!J13</f>
        <v>18941134</v>
      </c>
      <c r="P13" s="203">
        <f>'A4-FinPerf RE'!K13</f>
        <v>19366249</v>
      </c>
      <c r="Q13" s="204">
        <f>'A4-FinPerf RE'!L13</f>
        <v>20431392.6112752</v>
      </c>
    </row>
    <row r="14" spans="1:17" ht="11.25" customHeight="1" x14ac:dyDescent="0.25">
      <c r="A14" s="250" t="str">
        <f>'A4-FinPerf RE'!A14</f>
        <v>Interest earned - outstanding debtors</v>
      </c>
      <c r="B14" s="864"/>
      <c r="C14" s="1614">
        <f t="shared" si="3"/>
        <v>125483.40000000001</v>
      </c>
      <c r="D14" s="1614">
        <f t="shared" si="4"/>
        <v>138031.74</v>
      </c>
      <c r="E14" s="1614">
        <f t="shared" si="5"/>
        <v>62741.700000000004</v>
      </c>
      <c r="F14" s="1614">
        <f t="shared" si="0"/>
        <v>64623.950000000004</v>
      </c>
      <c r="G14" s="1614">
        <f t="shared" si="1"/>
        <v>65916.45</v>
      </c>
      <c r="H14" s="1614">
        <f t="shared" si="6"/>
        <v>62741.700000000004</v>
      </c>
      <c r="I14" s="1614">
        <f t="shared" si="7"/>
        <v>62741.700000000004</v>
      </c>
      <c r="J14" s="1614">
        <f t="shared" si="8"/>
        <v>62741.700000000004</v>
      </c>
      <c r="K14" s="1614">
        <f t="shared" si="9"/>
        <v>62741.700000000004</v>
      </c>
      <c r="L14" s="1614">
        <f t="shared" si="10"/>
        <v>62741.700000000004</v>
      </c>
      <c r="M14" s="1614">
        <f t="shared" si="11"/>
        <v>62741.700000000004</v>
      </c>
      <c r="N14" s="808">
        <f t="shared" si="2"/>
        <v>421586.56000000017</v>
      </c>
      <c r="O14" s="205">
        <f>'A4-FinPerf RE'!J14</f>
        <v>1254834</v>
      </c>
      <c r="P14" s="203">
        <f>'A4-FinPerf RE'!K14</f>
        <v>1292479</v>
      </c>
      <c r="Q14" s="204">
        <f>'A4-FinPerf RE'!L14</f>
        <v>1318329</v>
      </c>
    </row>
    <row r="15" spans="1:17" ht="11.25" customHeight="1" x14ac:dyDescent="0.25">
      <c r="A15" s="250" t="str">
        <f>'A4-FinPerf RE'!A15</f>
        <v>Dividends received</v>
      </c>
      <c r="B15" s="864"/>
      <c r="C15" s="1614">
        <f t="shared" si="3"/>
        <v>0</v>
      </c>
      <c r="D15" s="1614">
        <f t="shared" si="4"/>
        <v>0</v>
      </c>
      <c r="E15" s="1614">
        <f t="shared" si="5"/>
        <v>0</v>
      </c>
      <c r="F15" s="1614">
        <f t="shared" si="0"/>
        <v>0</v>
      </c>
      <c r="G15" s="1614">
        <f t="shared" si="1"/>
        <v>0</v>
      </c>
      <c r="H15" s="1614">
        <f t="shared" si="6"/>
        <v>0</v>
      </c>
      <c r="I15" s="1614">
        <f t="shared" si="7"/>
        <v>0</v>
      </c>
      <c r="J15" s="1614">
        <f t="shared" si="8"/>
        <v>0</v>
      </c>
      <c r="K15" s="1614">
        <f t="shared" si="9"/>
        <v>0</v>
      </c>
      <c r="L15" s="1614">
        <f t="shared" si="10"/>
        <v>0</v>
      </c>
      <c r="M15" s="1614">
        <f t="shared" si="11"/>
        <v>0</v>
      </c>
      <c r="N15" s="808">
        <f t="shared" si="2"/>
        <v>0</v>
      </c>
      <c r="O15" s="205">
        <f>'A4-FinPerf RE'!J15</f>
        <v>0</v>
      </c>
      <c r="P15" s="203">
        <f>'A4-FinPerf RE'!K15</f>
        <v>0</v>
      </c>
      <c r="Q15" s="204">
        <f>'A4-FinPerf RE'!L15</f>
        <v>0</v>
      </c>
    </row>
    <row r="16" spans="1:17" ht="11.25" customHeight="1" x14ac:dyDescent="0.25">
      <c r="A16" s="250" t="str">
        <f>'A4-FinPerf RE'!A16</f>
        <v>Fines</v>
      </c>
      <c r="B16" s="864"/>
      <c r="C16" s="1614">
        <f t="shared" si="3"/>
        <v>563354.80000000005</v>
      </c>
      <c r="D16" s="1614">
        <f t="shared" si="4"/>
        <v>619690.28</v>
      </c>
      <c r="E16" s="1614">
        <f t="shared" si="5"/>
        <v>281677.40000000002</v>
      </c>
      <c r="F16" s="1614">
        <f t="shared" si="0"/>
        <v>296593.35000000003</v>
      </c>
      <c r="G16" s="1614">
        <f t="shared" si="1"/>
        <v>307556.14974169992</v>
      </c>
      <c r="H16" s="1614">
        <f t="shared" si="6"/>
        <v>281677.40000000002</v>
      </c>
      <c r="I16" s="1614">
        <f t="shared" si="7"/>
        <v>281677.40000000002</v>
      </c>
      <c r="J16" s="1614">
        <f t="shared" si="8"/>
        <v>281677.40000000002</v>
      </c>
      <c r="K16" s="1614">
        <f t="shared" si="9"/>
        <v>281677.40000000002</v>
      </c>
      <c r="L16" s="1614">
        <f t="shared" si="10"/>
        <v>281677.40000000002</v>
      </c>
      <c r="M16" s="1614">
        <f t="shared" si="11"/>
        <v>281677.40000000002</v>
      </c>
      <c r="N16" s="808">
        <f t="shared" si="2"/>
        <v>1874611.6202583006</v>
      </c>
      <c r="O16" s="205">
        <f>'A4-FinPerf RE'!J16</f>
        <v>5633548</v>
      </c>
      <c r="P16" s="203">
        <f>'A4-FinPerf RE'!K16</f>
        <v>5931867</v>
      </c>
      <c r="Q16" s="204">
        <f>'A4-FinPerf RE'!L16</f>
        <v>6151122.9948339984</v>
      </c>
    </row>
    <row r="17" spans="1:17" ht="11.25" customHeight="1" x14ac:dyDescent="0.25">
      <c r="A17" s="250" t="str">
        <f>'A4-FinPerf RE'!A17</f>
        <v>Licences and permits</v>
      </c>
      <c r="B17" s="864"/>
      <c r="C17" s="1614">
        <f t="shared" si="3"/>
        <v>4800</v>
      </c>
      <c r="D17" s="1614">
        <f t="shared" si="4"/>
        <v>5280</v>
      </c>
      <c r="E17" s="1614">
        <f t="shared" si="5"/>
        <v>2400</v>
      </c>
      <c r="F17" s="1614">
        <f t="shared" si="0"/>
        <v>2500</v>
      </c>
      <c r="G17" s="1614">
        <f t="shared" si="1"/>
        <v>2650</v>
      </c>
      <c r="H17" s="1614">
        <f t="shared" si="6"/>
        <v>2400</v>
      </c>
      <c r="I17" s="1614">
        <f t="shared" si="7"/>
        <v>2400</v>
      </c>
      <c r="J17" s="1614">
        <f t="shared" si="8"/>
        <v>2400</v>
      </c>
      <c r="K17" s="1614">
        <f t="shared" si="9"/>
        <v>2400</v>
      </c>
      <c r="L17" s="1614">
        <f t="shared" si="10"/>
        <v>2400</v>
      </c>
      <c r="M17" s="1614">
        <f t="shared" si="11"/>
        <v>2400</v>
      </c>
      <c r="N17" s="808">
        <f t="shared" si="2"/>
        <v>15970</v>
      </c>
      <c r="O17" s="205">
        <f>'A4-FinPerf RE'!J17</f>
        <v>48000</v>
      </c>
      <c r="P17" s="203">
        <f>'A4-FinPerf RE'!K17</f>
        <v>50000</v>
      </c>
      <c r="Q17" s="204">
        <f>'A4-FinPerf RE'!L17</f>
        <v>53000</v>
      </c>
    </row>
    <row r="18" spans="1:17" ht="11.25" customHeight="1" x14ac:dyDescent="0.25">
      <c r="A18" s="250" t="str">
        <f>'A4-FinPerf RE'!A18</f>
        <v>Agency services</v>
      </c>
      <c r="B18" s="864"/>
      <c r="C18" s="1614">
        <f t="shared" si="3"/>
        <v>58600</v>
      </c>
      <c r="D18" s="1614">
        <f t="shared" si="4"/>
        <v>64460</v>
      </c>
      <c r="E18" s="1614">
        <f t="shared" si="5"/>
        <v>29300</v>
      </c>
      <c r="F18" s="1614">
        <f t="shared" si="0"/>
        <v>29600</v>
      </c>
      <c r="G18" s="1614">
        <f t="shared" si="1"/>
        <v>30150</v>
      </c>
      <c r="H18" s="1614">
        <f t="shared" si="6"/>
        <v>29300</v>
      </c>
      <c r="I18" s="1614">
        <f t="shared" si="7"/>
        <v>29300</v>
      </c>
      <c r="J18" s="1614">
        <f t="shared" si="8"/>
        <v>29300</v>
      </c>
      <c r="K18" s="1614">
        <f t="shared" si="9"/>
        <v>29300</v>
      </c>
      <c r="L18" s="1614">
        <f t="shared" si="10"/>
        <v>29300</v>
      </c>
      <c r="M18" s="1614">
        <f t="shared" si="11"/>
        <v>29300</v>
      </c>
      <c r="N18" s="808">
        <f t="shared" si="2"/>
        <v>198090</v>
      </c>
      <c r="O18" s="205">
        <f>'A4-FinPerf RE'!J18</f>
        <v>586000</v>
      </c>
      <c r="P18" s="203">
        <f>'A4-FinPerf RE'!K18</f>
        <v>592000</v>
      </c>
      <c r="Q18" s="204">
        <f>'A4-FinPerf RE'!L18</f>
        <v>603000</v>
      </c>
    </row>
    <row r="19" spans="1:17" ht="11.25" customHeight="1" x14ac:dyDescent="0.25">
      <c r="A19" s="250" t="str">
        <f>'A4-FinPerf RE'!A19</f>
        <v>Transfers recognised - operational</v>
      </c>
      <c r="B19" s="864"/>
      <c r="C19" s="1614">
        <f t="shared" si="3"/>
        <v>65205859.5</v>
      </c>
      <c r="D19" s="1614">
        <f t="shared" si="4"/>
        <v>71726445.450000003</v>
      </c>
      <c r="E19" s="1614">
        <f t="shared" si="5"/>
        <v>32602929.75</v>
      </c>
      <c r="F19" s="1614">
        <f t="shared" si="0"/>
        <v>29493550</v>
      </c>
      <c r="G19" s="1614">
        <f t="shared" si="1"/>
        <v>32752000</v>
      </c>
      <c r="H19" s="1614">
        <f t="shared" si="6"/>
        <v>32602929.75</v>
      </c>
      <c r="I19" s="1614">
        <f t="shared" si="7"/>
        <v>32602929.75</v>
      </c>
      <c r="J19" s="1614">
        <f t="shared" si="8"/>
        <v>32602929.75</v>
      </c>
      <c r="K19" s="1614">
        <f t="shared" si="9"/>
        <v>32602929.75</v>
      </c>
      <c r="L19" s="1614">
        <f t="shared" si="10"/>
        <v>32602929.75</v>
      </c>
      <c r="M19" s="1614">
        <f t="shared" si="11"/>
        <v>32602929.75</v>
      </c>
      <c r="N19" s="808">
        <f t="shared" si="2"/>
        <v>224660231.80000001</v>
      </c>
      <c r="O19" s="205">
        <f>'A4-FinPerf RE'!J19</f>
        <v>652058595</v>
      </c>
      <c r="P19" s="203">
        <f>'A4-FinPerf RE'!K19</f>
        <v>589871000</v>
      </c>
      <c r="Q19" s="204">
        <f>'A4-FinPerf RE'!L19</f>
        <v>655040000</v>
      </c>
    </row>
    <row r="20" spans="1:17" ht="11.25" customHeight="1" x14ac:dyDescent="0.25">
      <c r="A20" s="250" t="str">
        <f>'A4-FinPerf RE'!A20</f>
        <v>Other revenue</v>
      </c>
      <c r="B20" s="864"/>
      <c r="C20" s="1614">
        <f t="shared" si="3"/>
        <v>4801119.7</v>
      </c>
      <c r="D20" s="1614">
        <f t="shared" si="4"/>
        <v>5281231.67</v>
      </c>
      <c r="E20" s="1614">
        <f t="shared" si="5"/>
        <v>2400559.85</v>
      </c>
      <c r="F20" s="1614">
        <f t="shared" si="0"/>
        <v>2461123.4</v>
      </c>
      <c r="G20" s="1614">
        <f t="shared" si="1"/>
        <v>2441249.9500000002</v>
      </c>
      <c r="H20" s="1614">
        <f t="shared" si="6"/>
        <v>2400559.85</v>
      </c>
      <c r="I20" s="1614">
        <f t="shared" si="7"/>
        <v>2400559.85</v>
      </c>
      <c r="J20" s="1614">
        <f t="shared" si="8"/>
        <v>2400559.85</v>
      </c>
      <c r="K20" s="1614">
        <f t="shared" si="9"/>
        <v>2400559.85</v>
      </c>
      <c r="L20" s="1614">
        <f t="shared" si="10"/>
        <v>2400559.85</v>
      </c>
      <c r="M20" s="1614">
        <f t="shared" si="11"/>
        <v>2400559.85</v>
      </c>
      <c r="N20" s="808">
        <f t="shared" si="2"/>
        <v>16222553.329999991</v>
      </c>
      <c r="O20" s="205">
        <f>'A4-FinPerf RE'!J20</f>
        <v>48011197</v>
      </c>
      <c r="P20" s="203">
        <f>'A4-FinPerf RE'!K20</f>
        <v>49222468</v>
      </c>
      <c r="Q20" s="204">
        <f>'A4-FinPerf RE'!L20</f>
        <v>48824999</v>
      </c>
    </row>
    <row r="21" spans="1:17" ht="11.25" customHeight="1" x14ac:dyDescent="0.25">
      <c r="A21" s="250" t="str">
        <f>'A4-FinPerf RE'!A21</f>
        <v>Gains on disposal of PPE</v>
      </c>
      <c r="B21" s="864"/>
      <c r="C21" s="1614">
        <f t="shared" si="3"/>
        <v>0</v>
      </c>
      <c r="D21" s="1614"/>
      <c r="E21" s="1614"/>
      <c r="F21" s="1614"/>
      <c r="G21" s="1614"/>
      <c r="H21" s="1614"/>
      <c r="I21" s="1614"/>
      <c r="J21" s="1614"/>
      <c r="K21" s="1614"/>
      <c r="L21" s="1614"/>
      <c r="M21" s="1614"/>
      <c r="N21" s="808">
        <f t="shared" si="2"/>
        <v>0</v>
      </c>
      <c r="O21" s="205">
        <f>'A4-FinPerf RE'!J21</f>
        <v>0</v>
      </c>
      <c r="P21" s="203">
        <f>'A4-FinPerf RE'!K21</f>
        <v>0</v>
      </c>
      <c r="Q21" s="204">
        <f>'A4-FinPerf RE'!L21</f>
        <v>0</v>
      </c>
    </row>
    <row r="22" spans="1:17" x14ac:dyDescent="0.25">
      <c r="A22" s="265" t="str">
        <f>'A4-FinPerf RE'!A22</f>
        <v>Total Revenue (excluding capital transfers and contributions)</v>
      </c>
      <c r="B22" s="865"/>
      <c r="C22" s="215">
        <f t="shared" ref="C22:Q22" si="12">SUM(C5:C21)</f>
        <v>354041427.99999988</v>
      </c>
      <c r="D22" s="213">
        <f t="shared" si="12"/>
        <v>389445570.79999995</v>
      </c>
      <c r="E22" s="213">
        <f t="shared" si="12"/>
        <v>177020713.99999994</v>
      </c>
      <c r="F22" s="213">
        <f t="shared" si="12"/>
        <v>186127462.95000002</v>
      </c>
      <c r="G22" s="213">
        <f t="shared" si="12"/>
        <v>202674898.03030545</v>
      </c>
      <c r="H22" s="213">
        <f t="shared" si="12"/>
        <v>177020713.99999994</v>
      </c>
      <c r="I22" s="213">
        <f t="shared" si="12"/>
        <v>177020713.99999994</v>
      </c>
      <c r="J22" s="213">
        <f t="shared" si="12"/>
        <v>177020713.99999994</v>
      </c>
      <c r="K22" s="213">
        <f t="shared" si="12"/>
        <v>177020713.99999994</v>
      </c>
      <c r="L22" s="213">
        <f t="shared" si="12"/>
        <v>177020713.99999994</v>
      </c>
      <c r="M22" s="213">
        <f t="shared" si="12"/>
        <v>177020713.99999994</v>
      </c>
      <c r="N22" s="866">
        <f t="shared" si="12"/>
        <v>1168979922.2196941</v>
      </c>
      <c r="O22" s="215">
        <f t="shared" si="12"/>
        <v>3540414280</v>
      </c>
      <c r="P22" s="213">
        <f t="shared" si="12"/>
        <v>3722549259</v>
      </c>
      <c r="Q22" s="214">
        <f t="shared" si="12"/>
        <v>4053497960.6061091</v>
      </c>
    </row>
    <row r="23" spans="1:17" ht="5.15" customHeight="1" x14ac:dyDescent="0.25">
      <c r="A23" s="273"/>
      <c r="B23" s="864"/>
      <c r="C23" s="205"/>
      <c r="D23" s="203"/>
      <c r="E23" s="203"/>
      <c r="F23" s="203"/>
      <c r="G23" s="203"/>
      <c r="H23" s="203"/>
      <c r="I23" s="203"/>
      <c r="J23" s="203"/>
      <c r="K23" s="203"/>
      <c r="L23" s="203"/>
      <c r="M23" s="203"/>
      <c r="N23" s="808"/>
      <c r="O23" s="205"/>
      <c r="P23" s="203"/>
      <c r="Q23" s="204"/>
    </row>
    <row r="24" spans="1:17" x14ac:dyDescent="0.25">
      <c r="A24" s="249" t="str">
        <f>'A4-FinPerf RE'!A24</f>
        <v>Expenditure By Type</v>
      </c>
      <c r="B24" s="867"/>
      <c r="C24" s="205"/>
      <c r="D24" s="203"/>
      <c r="E24" s="203"/>
      <c r="F24" s="203"/>
      <c r="G24" s="203"/>
      <c r="H24" s="203"/>
      <c r="I24" s="203"/>
      <c r="J24" s="203"/>
      <c r="K24" s="203"/>
      <c r="L24" s="203"/>
      <c r="M24" s="203"/>
      <c r="N24" s="808"/>
      <c r="O24" s="205"/>
      <c r="P24" s="203"/>
      <c r="Q24" s="204"/>
    </row>
    <row r="25" spans="1:17" ht="11.25" customHeight="1" x14ac:dyDescent="0.25">
      <c r="A25" s="250" t="str">
        <f>'A4-FinPerf RE'!A25</f>
        <v>Employee related costs</v>
      </c>
      <c r="B25" s="864"/>
      <c r="C25" s="1635">
        <f>(O25-(O25/12))/12</f>
        <v>58866775.534722216</v>
      </c>
      <c r="D25" s="1614">
        <v>54497003.179675661</v>
      </c>
      <c r="E25" s="1614">
        <v>54497003.179675661</v>
      </c>
      <c r="F25" s="1614">
        <f>G25*2</f>
        <v>108994006.35935132</v>
      </c>
      <c r="G25" s="1614">
        <v>54497003.179675661</v>
      </c>
      <c r="H25" s="1614">
        <v>54497003.179675661</v>
      </c>
      <c r="I25" s="1614">
        <v>54497003.179675661</v>
      </c>
      <c r="J25" s="1614">
        <v>54497003.179675661</v>
      </c>
      <c r="K25" s="1614">
        <v>54497003.179675661</v>
      </c>
      <c r="L25" s="1614">
        <v>54497003.179675661</v>
      </c>
      <c r="M25" s="1614">
        <v>54497003.179675661</v>
      </c>
      <c r="N25" s="808">
        <f t="shared" ref="N25:N35" si="13">O25-SUM(C25:M25)</f>
        <v>112285796.48884547</v>
      </c>
      <c r="O25" s="205">
        <f>'A4-FinPerf RE'!J25</f>
        <v>770619607</v>
      </c>
      <c r="P25" s="203">
        <f>'A4-FinPerf RE'!K25</f>
        <v>819227753</v>
      </c>
      <c r="Q25" s="204">
        <f>'A4-FinPerf RE'!L25</f>
        <v>861559522</v>
      </c>
    </row>
    <row r="26" spans="1:17" ht="11.25" customHeight="1" x14ac:dyDescent="0.25">
      <c r="A26" s="250" t="str">
        <f>'A4-FinPerf RE'!A26</f>
        <v>Remuneration of councillors</v>
      </c>
      <c r="B26" s="864"/>
      <c r="C26" s="1635">
        <f>O26/12</f>
        <v>3034916.75</v>
      </c>
      <c r="D26" s="1614">
        <v>2833333.3333333335</v>
      </c>
      <c r="E26" s="1614">
        <v>2833333.3333333335</v>
      </c>
      <c r="F26" s="1614">
        <v>2833333.3333333335</v>
      </c>
      <c r="G26" s="1614">
        <v>2833333.3333333335</v>
      </c>
      <c r="H26" s="1614">
        <v>2833333.3333333335</v>
      </c>
      <c r="I26" s="1614">
        <v>2833333.3333333335</v>
      </c>
      <c r="J26" s="1614">
        <v>2833333.3333333335</v>
      </c>
      <c r="K26" s="1614">
        <v>2833333.3333333335</v>
      </c>
      <c r="L26" s="1614">
        <v>2833333.3333333335</v>
      </c>
      <c r="M26" s="1614">
        <v>2833333.3333333335</v>
      </c>
      <c r="N26" s="808">
        <f t="shared" si="13"/>
        <v>5050750.9166666716</v>
      </c>
      <c r="O26" s="205">
        <f>'A4-FinPerf RE'!J26</f>
        <v>36419001</v>
      </c>
      <c r="P26" s="203">
        <f>'A4-FinPerf RE'!K26</f>
        <v>38421710</v>
      </c>
      <c r="Q26" s="204">
        <f>'A4-FinPerf RE'!L26</f>
        <v>40534551</v>
      </c>
    </row>
    <row r="27" spans="1:17" ht="11.25" customHeight="1" x14ac:dyDescent="0.25">
      <c r="A27" s="250" t="str">
        <f>'A4-FinPerf RE'!A27</f>
        <v>Debt impairment</v>
      </c>
      <c r="B27" s="864"/>
      <c r="C27" s="1635">
        <f>0.05*O27</f>
        <v>6875487.25</v>
      </c>
      <c r="D27" s="1614">
        <f>O27*0.08</f>
        <v>11000779.6</v>
      </c>
      <c r="E27" s="1614">
        <f>O27*0.09</f>
        <v>12375877.049999999</v>
      </c>
      <c r="F27" s="1614">
        <f>O27*0.1</f>
        <v>13750974.5</v>
      </c>
      <c r="G27" s="1614">
        <f>O27*0.11</f>
        <v>15126071.949999999</v>
      </c>
      <c r="H27" s="1614">
        <f>O27*0.05</f>
        <v>6875487.25</v>
      </c>
      <c r="I27" s="1614">
        <f>O27*0.08</f>
        <v>11000779.6</v>
      </c>
      <c r="J27" s="1614">
        <f>O27*0.1</f>
        <v>13750974.5</v>
      </c>
      <c r="K27" s="1614">
        <f>O27*0.1</f>
        <v>13750974.5</v>
      </c>
      <c r="L27" s="1614">
        <f>O27*0.14</f>
        <v>19251364.300000001</v>
      </c>
      <c r="M27" s="1614">
        <f>O27*0.05</f>
        <v>6875487.25</v>
      </c>
      <c r="N27" s="808">
        <f t="shared" si="13"/>
        <v>6875487.2500000149</v>
      </c>
      <c r="O27" s="205">
        <f>'A4-FinPerf RE'!J27</f>
        <v>137509745</v>
      </c>
      <c r="P27" s="203">
        <f>'A4-FinPerf RE'!K27</f>
        <v>154111256</v>
      </c>
      <c r="Q27" s="204">
        <f>'A4-FinPerf RE'!L27</f>
        <v>158637375</v>
      </c>
    </row>
    <row r="28" spans="1:17" ht="11.25" customHeight="1" x14ac:dyDescent="0.25">
      <c r="A28" s="250" t="str">
        <f>'A4-FinPerf RE'!A28</f>
        <v>Depreciation &amp; asset impairment</v>
      </c>
      <c r="B28" s="864"/>
      <c r="C28" s="1635">
        <f t="shared" ref="C28:C34" si="14">0.05*O28</f>
        <v>9480000</v>
      </c>
      <c r="D28" s="1614">
        <f t="shared" ref="D28:D34" si="15">O28*0.08</f>
        <v>15168000</v>
      </c>
      <c r="E28" s="1614">
        <f t="shared" ref="E28:E34" si="16">O28*0.09</f>
        <v>17064000</v>
      </c>
      <c r="F28" s="1614">
        <f t="shared" ref="F28:F34" si="17">O28*0.1</f>
        <v>18960000</v>
      </c>
      <c r="G28" s="1614">
        <f t="shared" ref="G28:G34" si="18">O28*0.11</f>
        <v>20856000</v>
      </c>
      <c r="H28" s="1614">
        <f t="shared" ref="H28:H34" si="19">O28*0.05</f>
        <v>9480000</v>
      </c>
      <c r="I28" s="1614">
        <f t="shared" ref="I28:I34" si="20">O28*0.08</f>
        <v>15168000</v>
      </c>
      <c r="J28" s="1614">
        <f t="shared" ref="J28:J34" si="21">O28*0.1</f>
        <v>18960000</v>
      </c>
      <c r="K28" s="1614">
        <f t="shared" ref="K28:K34" si="22">O28*0.1</f>
        <v>18960000</v>
      </c>
      <c r="L28" s="1614">
        <f t="shared" ref="L28:L34" si="23">O28*0.14</f>
        <v>26544000.000000004</v>
      </c>
      <c r="M28" s="1614">
        <f t="shared" ref="M28:M34" si="24">O28*0.05</f>
        <v>9480000</v>
      </c>
      <c r="N28" s="808">
        <f t="shared" si="13"/>
        <v>9480000</v>
      </c>
      <c r="O28" s="205">
        <f>'A4-FinPerf RE'!J28</f>
        <v>189600000</v>
      </c>
      <c r="P28" s="203">
        <f>'A4-FinPerf RE'!K28</f>
        <v>227520000</v>
      </c>
      <c r="Q28" s="204">
        <f>'A4-FinPerf RE'!L28</f>
        <v>273024000</v>
      </c>
    </row>
    <row r="29" spans="1:17" ht="11.25" customHeight="1" x14ac:dyDescent="0.25">
      <c r="A29" s="250" t="str">
        <f>'A4-FinPerf RE'!A29</f>
        <v>Finance charges</v>
      </c>
      <c r="B29" s="864"/>
      <c r="C29" s="1635">
        <f t="shared" si="14"/>
        <v>3230000</v>
      </c>
      <c r="D29" s="1614">
        <f t="shared" si="15"/>
        <v>5168000</v>
      </c>
      <c r="E29" s="1614">
        <f t="shared" si="16"/>
        <v>5814000</v>
      </c>
      <c r="F29" s="1614">
        <f t="shared" si="17"/>
        <v>6460000</v>
      </c>
      <c r="G29" s="1614">
        <f t="shared" si="18"/>
        <v>7106000</v>
      </c>
      <c r="H29" s="1614">
        <f t="shared" si="19"/>
        <v>3230000</v>
      </c>
      <c r="I29" s="1614">
        <f t="shared" si="20"/>
        <v>5168000</v>
      </c>
      <c r="J29" s="1614">
        <f t="shared" si="21"/>
        <v>6460000</v>
      </c>
      <c r="K29" s="1614">
        <f t="shared" si="22"/>
        <v>6460000</v>
      </c>
      <c r="L29" s="1614">
        <f t="shared" si="23"/>
        <v>9044000</v>
      </c>
      <c r="M29" s="1614">
        <f t="shared" si="24"/>
        <v>3230000</v>
      </c>
      <c r="N29" s="808">
        <f t="shared" si="13"/>
        <v>3230000</v>
      </c>
      <c r="O29" s="205">
        <f>'A4-FinPerf RE'!J29</f>
        <v>64600000</v>
      </c>
      <c r="P29" s="203">
        <f>'A4-FinPerf RE'!K29</f>
        <v>59255486</v>
      </c>
      <c r="Q29" s="204">
        <f>'A4-FinPerf RE'!L29</f>
        <v>54480000</v>
      </c>
    </row>
    <row r="30" spans="1:17" ht="11.25" customHeight="1" x14ac:dyDescent="0.25">
      <c r="A30" s="250" t="str">
        <f>'A4-FinPerf RE'!A30</f>
        <v>Bulk purchases</v>
      </c>
      <c r="B30" s="864"/>
      <c r="C30" s="1635">
        <f t="shared" si="14"/>
        <v>76015751.049999997</v>
      </c>
      <c r="D30" s="1614">
        <f t="shared" si="15"/>
        <v>121625201.68000001</v>
      </c>
      <c r="E30" s="1614">
        <f t="shared" si="16"/>
        <v>136828351.88999999</v>
      </c>
      <c r="F30" s="1614">
        <f t="shared" si="17"/>
        <v>152031502.09999999</v>
      </c>
      <c r="G30" s="1614">
        <f t="shared" si="18"/>
        <v>167234652.31</v>
      </c>
      <c r="H30" s="1614">
        <f t="shared" si="19"/>
        <v>76015751.049999997</v>
      </c>
      <c r="I30" s="1614">
        <f t="shared" si="20"/>
        <v>121625201.68000001</v>
      </c>
      <c r="J30" s="1614">
        <f t="shared" si="21"/>
        <v>152031502.09999999</v>
      </c>
      <c r="K30" s="1614">
        <f t="shared" si="22"/>
        <v>152031502.09999999</v>
      </c>
      <c r="L30" s="1614">
        <f t="shared" si="23"/>
        <v>212844102.94000003</v>
      </c>
      <c r="M30" s="1614">
        <f t="shared" si="24"/>
        <v>76015751.049999997</v>
      </c>
      <c r="N30" s="808">
        <f t="shared" si="13"/>
        <v>76015751.049999952</v>
      </c>
      <c r="O30" s="205">
        <f>'A4-FinPerf RE'!J30</f>
        <v>1520315021</v>
      </c>
      <c r="P30" s="203">
        <f>'A4-FinPerf RE'!K30</f>
        <v>1650633544</v>
      </c>
      <c r="Q30" s="204">
        <f>'A4-FinPerf RE'!L30</f>
        <v>1795318200</v>
      </c>
    </row>
    <row r="31" spans="1:17" ht="11.25" customHeight="1" x14ac:dyDescent="0.25">
      <c r="A31" s="250" t="str">
        <f>'A4-FinPerf RE'!A31</f>
        <v>Other materials</v>
      </c>
      <c r="B31" s="864"/>
      <c r="C31" s="1635">
        <f t="shared" si="14"/>
        <v>0</v>
      </c>
      <c r="D31" s="1614">
        <f t="shared" si="15"/>
        <v>0</v>
      </c>
      <c r="E31" s="1614">
        <f t="shared" si="16"/>
        <v>0</v>
      </c>
      <c r="F31" s="1614">
        <f t="shared" si="17"/>
        <v>0</v>
      </c>
      <c r="G31" s="1614">
        <f t="shared" si="18"/>
        <v>0</v>
      </c>
      <c r="H31" s="1614">
        <f t="shared" si="19"/>
        <v>0</v>
      </c>
      <c r="I31" s="1614">
        <f t="shared" si="20"/>
        <v>0</v>
      </c>
      <c r="J31" s="1614">
        <f t="shared" si="21"/>
        <v>0</v>
      </c>
      <c r="K31" s="1614">
        <f t="shared" si="22"/>
        <v>0</v>
      </c>
      <c r="L31" s="1614">
        <f t="shared" si="23"/>
        <v>0</v>
      </c>
      <c r="M31" s="1614">
        <f t="shared" si="24"/>
        <v>0</v>
      </c>
      <c r="N31" s="808">
        <f t="shared" si="13"/>
        <v>0</v>
      </c>
      <c r="O31" s="205">
        <f>'A4-FinPerf RE'!J31</f>
        <v>0</v>
      </c>
      <c r="P31" s="203">
        <f>'A4-FinPerf RE'!K31</f>
        <v>0</v>
      </c>
      <c r="Q31" s="204">
        <f>'A4-FinPerf RE'!L31</f>
        <v>0</v>
      </c>
    </row>
    <row r="32" spans="1:17" ht="11.25" customHeight="1" x14ac:dyDescent="0.25">
      <c r="A32" s="250" t="str">
        <f>'A4-FinPerf RE'!A32</f>
        <v>Contracted services</v>
      </c>
      <c r="B32" s="864"/>
      <c r="C32" s="1635">
        <f t="shared" si="14"/>
        <v>839592.05</v>
      </c>
      <c r="D32" s="1614">
        <f t="shared" si="15"/>
        <v>1343347.28</v>
      </c>
      <c r="E32" s="1614">
        <f t="shared" si="16"/>
        <v>1511265.69</v>
      </c>
      <c r="F32" s="1614">
        <f t="shared" si="17"/>
        <v>1679184.1</v>
      </c>
      <c r="G32" s="1614">
        <f t="shared" si="18"/>
        <v>1847102.51</v>
      </c>
      <c r="H32" s="1614">
        <f t="shared" si="19"/>
        <v>839592.05</v>
      </c>
      <c r="I32" s="1614">
        <f t="shared" si="20"/>
        <v>1343347.28</v>
      </c>
      <c r="J32" s="1614">
        <f t="shared" si="21"/>
        <v>1679184.1</v>
      </c>
      <c r="K32" s="1614">
        <f t="shared" si="22"/>
        <v>1679184.1</v>
      </c>
      <c r="L32" s="1614">
        <f t="shared" si="23"/>
        <v>2350857.7400000002</v>
      </c>
      <c r="M32" s="1614">
        <f t="shared" si="24"/>
        <v>839592.05</v>
      </c>
      <c r="N32" s="808">
        <f t="shared" si="13"/>
        <v>839592.05000000075</v>
      </c>
      <c r="O32" s="205">
        <f>'A4-FinPerf RE'!J32</f>
        <v>16791841</v>
      </c>
      <c r="P32" s="203">
        <f>'A4-FinPerf RE'!K32</f>
        <v>17677809</v>
      </c>
      <c r="Q32" s="204">
        <f>'A4-FinPerf RE'!L32</f>
        <v>18555560</v>
      </c>
    </row>
    <row r="33" spans="1:17" ht="11.25" customHeight="1" x14ac:dyDescent="0.25">
      <c r="A33" s="250" t="str">
        <f>'A4-FinPerf RE'!A33</f>
        <v>Transfers and grants</v>
      </c>
      <c r="B33" s="864"/>
      <c r="C33" s="1635">
        <f t="shared" si="14"/>
        <v>251365.2</v>
      </c>
      <c r="D33" s="1614">
        <f t="shared" si="15"/>
        <v>402184.32</v>
      </c>
      <c r="E33" s="1614">
        <f t="shared" si="16"/>
        <v>452457.36</v>
      </c>
      <c r="F33" s="1614">
        <f t="shared" si="17"/>
        <v>502730.4</v>
      </c>
      <c r="G33" s="1614">
        <f t="shared" si="18"/>
        <v>553003.44000000006</v>
      </c>
      <c r="H33" s="1614">
        <f t="shared" si="19"/>
        <v>251365.2</v>
      </c>
      <c r="I33" s="1614">
        <f t="shared" si="20"/>
        <v>402184.32</v>
      </c>
      <c r="J33" s="1614">
        <f t="shared" si="21"/>
        <v>502730.4</v>
      </c>
      <c r="K33" s="1614">
        <f t="shared" si="22"/>
        <v>502730.4</v>
      </c>
      <c r="L33" s="1614">
        <f t="shared" si="23"/>
        <v>703822.56</v>
      </c>
      <c r="M33" s="1614">
        <f t="shared" si="24"/>
        <v>251365.2</v>
      </c>
      <c r="N33" s="808">
        <f t="shared" si="13"/>
        <v>251365.20000000019</v>
      </c>
      <c r="O33" s="205">
        <f>'A4-FinPerf RE'!J33</f>
        <v>5027304</v>
      </c>
      <c r="P33" s="203">
        <f>'A4-FinPerf RE'!K33</f>
        <v>5273870</v>
      </c>
      <c r="Q33" s="204">
        <f>'A4-FinPerf RE'!L33</f>
        <v>5562739</v>
      </c>
    </row>
    <row r="34" spans="1:17" ht="11.25" customHeight="1" x14ac:dyDescent="0.25">
      <c r="A34" s="250" t="str">
        <f>'A4-FinPerf RE'!A34</f>
        <v>Other expenditure</v>
      </c>
      <c r="B34" s="864"/>
      <c r="C34" s="1635">
        <f t="shared" si="14"/>
        <v>36647297.100000001</v>
      </c>
      <c r="D34" s="1614">
        <f t="shared" si="15"/>
        <v>58635675.359999999</v>
      </c>
      <c r="E34" s="1614">
        <f t="shared" si="16"/>
        <v>65965134.780000001</v>
      </c>
      <c r="F34" s="1614">
        <f t="shared" si="17"/>
        <v>73294594.200000003</v>
      </c>
      <c r="G34" s="1614">
        <f t="shared" si="18"/>
        <v>80624053.620000005</v>
      </c>
      <c r="H34" s="1614">
        <f t="shared" si="19"/>
        <v>36647297.100000001</v>
      </c>
      <c r="I34" s="1614">
        <f t="shared" si="20"/>
        <v>58635675.359999999</v>
      </c>
      <c r="J34" s="1614">
        <f t="shared" si="21"/>
        <v>73294594.200000003</v>
      </c>
      <c r="K34" s="1614">
        <f t="shared" si="22"/>
        <v>73294594.200000003</v>
      </c>
      <c r="L34" s="1614">
        <f t="shared" si="23"/>
        <v>102612431.88000001</v>
      </c>
      <c r="M34" s="1614">
        <f t="shared" si="24"/>
        <v>36647297.100000001</v>
      </c>
      <c r="N34" s="808">
        <f t="shared" si="13"/>
        <v>36647297.099999905</v>
      </c>
      <c r="O34" s="205">
        <f>'A4-FinPerf RE'!J34</f>
        <v>732945942</v>
      </c>
      <c r="P34" s="203">
        <f>'A4-FinPerf RE'!K34</f>
        <v>685870927</v>
      </c>
      <c r="Q34" s="204">
        <f>'A4-FinPerf RE'!L34</f>
        <v>795825247</v>
      </c>
    </row>
    <row r="35" spans="1:17" ht="11.25" customHeight="1" x14ac:dyDescent="0.25">
      <c r="A35" s="250" t="str">
        <f>'A4-FinPerf RE'!A35</f>
        <v>Loss on disposal of PPE</v>
      </c>
      <c r="B35" s="864"/>
      <c r="C35" s="1635"/>
      <c r="D35" s="1614"/>
      <c r="E35" s="1614"/>
      <c r="F35" s="1614"/>
      <c r="G35" s="1614"/>
      <c r="H35" s="1614"/>
      <c r="I35" s="1614"/>
      <c r="J35" s="1614"/>
      <c r="K35" s="1614"/>
      <c r="L35" s="1614"/>
      <c r="M35" s="1614"/>
      <c r="N35" s="808">
        <f t="shared" si="13"/>
        <v>0</v>
      </c>
      <c r="O35" s="205">
        <f>'A4-FinPerf RE'!J35</f>
        <v>0</v>
      </c>
      <c r="P35" s="203">
        <f>'A4-FinPerf RE'!K35</f>
        <v>0</v>
      </c>
      <c r="Q35" s="204">
        <f>'A4-FinPerf RE'!L35</f>
        <v>0</v>
      </c>
    </row>
    <row r="36" spans="1:17" x14ac:dyDescent="0.25">
      <c r="A36" s="265" t="str">
        <f>'A4-FinPerf RE'!A36</f>
        <v>Total Expenditure</v>
      </c>
      <c r="B36" s="865"/>
      <c r="C36" s="215">
        <f>SUM(C25:C35)</f>
        <v>195241184.93472221</v>
      </c>
      <c r="D36" s="213">
        <f t="shared" ref="D36:Q36" si="25">SUM(D25:D35)</f>
        <v>270673524.75300896</v>
      </c>
      <c r="E36" s="213">
        <f t="shared" si="25"/>
        <v>297341423.28300899</v>
      </c>
      <c r="F36" s="213">
        <f t="shared" si="25"/>
        <v>378506324.99268466</v>
      </c>
      <c r="G36" s="213">
        <f t="shared" si="25"/>
        <v>350677220.343009</v>
      </c>
      <c r="H36" s="213">
        <f t="shared" si="25"/>
        <v>190669829.16300899</v>
      </c>
      <c r="I36" s="213">
        <f t="shared" si="25"/>
        <v>270673524.75300896</v>
      </c>
      <c r="J36" s="213">
        <f t="shared" si="25"/>
        <v>324009321.81300896</v>
      </c>
      <c r="K36" s="213">
        <f t="shared" si="25"/>
        <v>324009321.81300896</v>
      </c>
      <c r="L36" s="213">
        <f t="shared" si="25"/>
        <v>430680915.93300903</v>
      </c>
      <c r="M36" s="213">
        <f t="shared" si="25"/>
        <v>190669829.16300899</v>
      </c>
      <c r="N36" s="866">
        <f t="shared" si="25"/>
        <v>250676040.05551201</v>
      </c>
      <c r="O36" s="215">
        <f t="shared" si="25"/>
        <v>3473828461</v>
      </c>
      <c r="P36" s="213">
        <f t="shared" si="25"/>
        <v>3657992355</v>
      </c>
      <c r="Q36" s="214">
        <f t="shared" si="25"/>
        <v>4003497194</v>
      </c>
    </row>
    <row r="37" spans="1:17" ht="5.15" customHeight="1" x14ac:dyDescent="0.25">
      <c r="A37" s="273"/>
      <c r="B37" s="864"/>
      <c r="C37" s="205"/>
      <c r="D37" s="203"/>
      <c r="E37" s="203"/>
      <c r="F37" s="203"/>
      <c r="G37" s="203"/>
      <c r="H37" s="203"/>
      <c r="I37" s="203"/>
      <c r="J37" s="203"/>
      <c r="K37" s="203"/>
      <c r="L37" s="203"/>
      <c r="M37" s="203"/>
      <c r="N37" s="808"/>
      <c r="O37" s="205"/>
      <c r="P37" s="203"/>
      <c r="Q37" s="204"/>
    </row>
    <row r="38" spans="1:17" x14ac:dyDescent="0.25">
      <c r="A38" s="868" t="str">
        <f>'A4-FinPerf RE'!A38</f>
        <v>Surplus/(Deficit)</v>
      </c>
      <c r="B38" s="869"/>
      <c r="C38" s="215">
        <f t="shared" ref="C38:Q38" si="26">C22-C36</f>
        <v>158800243.06527767</v>
      </c>
      <c r="D38" s="213">
        <f t="shared" si="26"/>
        <v>118772046.04699099</v>
      </c>
      <c r="E38" s="213">
        <f t="shared" si="26"/>
        <v>-120320709.28300905</v>
      </c>
      <c r="F38" s="213">
        <f t="shared" si="26"/>
        <v>-192378862.04268464</v>
      </c>
      <c r="G38" s="213">
        <f t="shared" si="26"/>
        <v>-148002322.31270355</v>
      </c>
      <c r="H38" s="213">
        <f t="shared" si="26"/>
        <v>-13649115.163009048</v>
      </c>
      <c r="I38" s="213">
        <f t="shared" si="26"/>
        <v>-93652810.753009021</v>
      </c>
      <c r="J38" s="213">
        <f t="shared" si="26"/>
        <v>-146988607.81300902</v>
      </c>
      <c r="K38" s="213">
        <f t="shared" si="26"/>
        <v>-146988607.81300902</v>
      </c>
      <c r="L38" s="213">
        <f t="shared" si="26"/>
        <v>-253660201.93300909</v>
      </c>
      <c r="M38" s="213">
        <f t="shared" si="26"/>
        <v>-13649115.163009048</v>
      </c>
      <c r="N38" s="866">
        <f t="shared" si="26"/>
        <v>918303882.16418219</v>
      </c>
      <c r="O38" s="215">
        <f t="shared" si="26"/>
        <v>66585819</v>
      </c>
      <c r="P38" s="213">
        <f t="shared" si="26"/>
        <v>64556904</v>
      </c>
      <c r="Q38" s="214">
        <f t="shared" si="26"/>
        <v>50000766.606109142</v>
      </c>
    </row>
    <row r="39" spans="1:17" ht="11.25" customHeight="1" x14ac:dyDescent="0.25">
      <c r="A39" s="250" t="str">
        <f>'A4-FinPerf RE'!A39</f>
        <v>Transfers recognised - capital</v>
      </c>
      <c r="B39" s="864"/>
      <c r="C39" s="1635">
        <v>0</v>
      </c>
      <c r="D39" s="1614">
        <v>15360000</v>
      </c>
      <c r="E39" s="1614">
        <v>0</v>
      </c>
      <c r="F39" s="1614">
        <v>2000000</v>
      </c>
      <c r="G39" s="1614">
        <v>9800000</v>
      </c>
      <c r="H39" s="1614">
        <v>3725890</v>
      </c>
      <c r="I39" s="1614">
        <v>0</v>
      </c>
      <c r="J39" s="1614">
        <v>26754900</v>
      </c>
      <c r="K39" s="1614">
        <v>12345890</v>
      </c>
      <c r="L39" s="1614">
        <v>0</v>
      </c>
      <c r="M39" s="1614">
        <v>145392000</v>
      </c>
      <c r="N39" s="808">
        <f>O39-SUM(C39:M39)</f>
        <v>-215378680</v>
      </c>
      <c r="O39" s="205">
        <f>'A4-FinPerf RE'!J39</f>
        <v>0</v>
      </c>
      <c r="P39" s="203">
        <f>'A4-FinPerf RE'!K39</f>
        <v>0</v>
      </c>
      <c r="Q39" s="204">
        <f>'A4-FinPerf RE'!L39</f>
        <v>0</v>
      </c>
    </row>
    <row r="40" spans="1:17" ht="11.25" customHeight="1" x14ac:dyDescent="0.25">
      <c r="A40" s="250" t="str">
        <f>'A4-FinPerf RE'!A40</f>
        <v>Contributions recognised - capital</v>
      </c>
      <c r="B40" s="864"/>
      <c r="C40" s="1635"/>
      <c r="D40" s="1614"/>
      <c r="E40" s="1614"/>
      <c r="F40" s="1614"/>
      <c r="G40" s="1614"/>
      <c r="H40" s="1614"/>
      <c r="I40" s="1614"/>
      <c r="J40" s="1614"/>
      <c r="K40" s="1614"/>
      <c r="L40" s="1614"/>
      <c r="M40" s="1614"/>
      <c r="N40" s="808">
        <f>O40-SUM(C40:M40)</f>
        <v>0</v>
      </c>
      <c r="O40" s="205">
        <f>'A4-FinPerf RE'!J40</f>
        <v>0</v>
      </c>
      <c r="P40" s="203">
        <f>'A4-FinPerf RE'!K40</f>
        <v>0</v>
      </c>
      <c r="Q40" s="204">
        <f>'A4-FinPerf RE'!L40</f>
        <v>0</v>
      </c>
    </row>
    <row r="41" spans="1:17" ht="11.25" customHeight="1" x14ac:dyDescent="0.25">
      <c r="A41" s="250" t="str">
        <f>'A4-FinPerf RE'!A41</f>
        <v>Contributed assets</v>
      </c>
      <c r="B41" s="864"/>
      <c r="C41" s="1635"/>
      <c r="D41" s="1614"/>
      <c r="E41" s="1614"/>
      <c r="F41" s="1614"/>
      <c r="G41" s="1614"/>
      <c r="H41" s="1614"/>
      <c r="I41" s="1614"/>
      <c r="J41" s="1614"/>
      <c r="K41" s="1614"/>
      <c r="L41" s="1614"/>
      <c r="M41" s="1614"/>
      <c r="N41" s="808">
        <f>O41-SUM(C41:M41)</f>
        <v>0</v>
      </c>
      <c r="O41" s="205">
        <f>'A4-FinPerf RE'!J41</f>
        <v>0</v>
      </c>
      <c r="P41" s="203">
        <f>'A4-FinPerf RE'!K41</f>
        <v>0</v>
      </c>
      <c r="Q41" s="204">
        <f>'A4-FinPerf RE'!L41</f>
        <v>0</v>
      </c>
    </row>
    <row r="42" spans="1:17" s="769" customFormat="1" ht="22.5" customHeight="1" x14ac:dyDescent="0.25">
      <c r="A42" s="870" t="str">
        <f>'A4-FinPerf RE'!A42</f>
        <v>Surplus/(Deficit) after capital transfers &amp; contributions</v>
      </c>
      <c r="B42" s="871"/>
      <c r="C42" s="872">
        <f t="shared" ref="C42:N42" si="27">C38+SUM(C39:C41)</f>
        <v>158800243.06527767</v>
      </c>
      <c r="D42" s="873">
        <f t="shared" si="27"/>
        <v>134132046.04699099</v>
      </c>
      <c r="E42" s="873">
        <f t="shared" si="27"/>
        <v>-120320709.28300905</v>
      </c>
      <c r="F42" s="873">
        <f t="shared" si="27"/>
        <v>-190378862.04268464</v>
      </c>
      <c r="G42" s="873">
        <f t="shared" si="27"/>
        <v>-138202322.31270355</v>
      </c>
      <c r="H42" s="873">
        <f t="shared" si="27"/>
        <v>-9923225.1630090475</v>
      </c>
      <c r="I42" s="873">
        <f t="shared" si="27"/>
        <v>-93652810.753009021</v>
      </c>
      <c r="J42" s="873">
        <f t="shared" si="27"/>
        <v>-120233707.81300902</v>
      </c>
      <c r="K42" s="873">
        <f t="shared" si="27"/>
        <v>-134642717.81300902</v>
      </c>
      <c r="L42" s="873">
        <f t="shared" si="27"/>
        <v>-253660201.93300909</v>
      </c>
      <c r="M42" s="873">
        <f t="shared" si="27"/>
        <v>131742884.83699095</v>
      </c>
      <c r="N42" s="874">
        <f t="shared" si="27"/>
        <v>702925202.16418219</v>
      </c>
      <c r="O42" s="872">
        <f>O38+SUM(O39:O41)</f>
        <v>66585819</v>
      </c>
      <c r="P42" s="873">
        <f>P38+SUM(P39:P41)</f>
        <v>64556904</v>
      </c>
      <c r="Q42" s="875">
        <f>Q38+SUM(Q39:Q41)</f>
        <v>50000766.606109142</v>
      </c>
    </row>
    <row r="43" spans="1:17" ht="11.25" customHeight="1" x14ac:dyDescent="0.25">
      <c r="A43" s="250" t="str">
        <f>'A4-FinPerf RE'!A43</f>
        <v>Taxation</v>
      </c>
      <c r="B43" s="864"/>
      <c r="C43" s="1635"/>
      <c r="D43" s="1614"/>
      <c r="E43" s="1614"/>
      <c r="F43" s="1614"/>
      <c r="G43" s="1614"/>
      <c r="H43" s="1614"/>
      <c r="I43" s="1614"/>
      <c r="J43" s="1614"/>
      <c r="K43" s="1614"/>
      <c r="L43" s="1614"/>
      <c r="M43" s="1614"/>
      <c r="N43" s="808">
        <f>O43-SUM(C43:M43)</f>
        <v>0</v>
      </c>
      <c r="O43" s="205">
        <f>'A4-FinPerf RE'!J43</f>
        <v>0</v>
      </c>
      <c r="P43" s="203">
        <f>'A4-FinPerf RE'!K43</f>
        <v>0</v>
      </c>
      <c r="Q43" s="204">
        <f>'A4-FinPerf RE'!L43</f>
        <v>0</v>
      </c>
    </row>
    <row r="44" spans="1:17" ht="11.25" customHeight="1" x14ac:dyDescent="0.25">
      <c r="A44" s="250" t="str">
        <f>'A4-FinPerf RE'!A45</f>
        <v>Attributable to minorities</v>
      </c>
      <c r="B44" s="864"/>
      <c r="C44" s="1635"/>
      <c r="D44" s="1614"/>
      <c r="E44" s="1614"/>
      <c r="F44" s="1614"/>
      <c r="G44" s="1614"/>
      <c r="H44" s="1614"/>
      <c r="I44" s="1614"/>
      <c r="J44" s="1614"/>
      <c r="K44" s="1614"/>
      <c r="L44" s="1614"/>
      <c r="M44" s="1614"/>
      <c r="N44" s="808">
        <f>O44-SUM(C44:M44)</f>
        <v>0</v>
      </c>
      <c r="O44" s="205">
        <f>'A4-FinPerf RE'!J45</f>
        <v>0</v>
      </c>
      <c r="P44" s="203">
        <f>'A4-FinPerf RE'!K45</f>
        <v>0</v>
      </c>
      <c r="Q44" s="204">
        <f>'A4-FinPerf RE'!L45</f>
        <v>0</v>
      </c>
    </row>
    <row r="45" spans="1:17" x14ac:dyDescent="0.25">
      <c r="A45" s="524" t="str">
        <f>'A4-FinPerf RE'!A47</f>
        <v>Share of surplus/ (deficit) of associate</v>
      </c>
      <c r="B45" s="876"/>
      <c r="C45" s="1635"/>
      <c r="D45" s="1614"/>
      <c r="E45" s="1614"/>
      <c r="F45" s="1614"/>
      <c r="G45" s="1614"/>
      <c r="H45" s="1614"/>
      <c r="I45" s="1614"/>
      <c r="J45" s="1614"/>
      <c r="K45" s="1614"/>
      <c r="L45" s="1614"/>
      <c r="M45" s="1614"/>
      <c r="N45" s="808">
        <f>O45-SUM(C45:M45)</f>
        <v>0</v>
      </c>
      <c r="O45" s="205">
        <f>'A4-FinPerf RE'!J47</f>
        <v>0</v>
      </c>
      <c r="P45" s="203">
        <f>'A4-FinPerf RE'!K47</f>
        <v>0</v>
      </c>
      <c r="Q45" s="204">
        <f>'A4-FinPerf RE'!L47</f>
        <v>0</v>
      </c>
    </row>
    <row r="46" spans="1:17" x14ac:dyDescent="0.25">
      <c r="A46" s="849" t="str">
        <f>'A4-FinPerf RE'!A38</f>
        <v>Surplus/(Deficit)</v>
      </c>
      <c r="B46" s="877">
        <v>1</v>
      </c>
      <c r="C46" s="353">
        <f t="shared" ref="C46:N46" si="28">C42+SUM(C43:C45)</f>
        <v>158800243.06527767</v>
      </c>
      <c r="D46" s="227">
        <f t="shared" si="28"/>
        <v>134132046.04699099</v>
      </c>
      <c r="E46" s="227">
        <f t="shared" si="28"/>
        <v>-120320709.28300905</v>
      </c>
      <c r="F46" s="227">
        <f t="shared" si="28"/>
        <v>-190378862.04268464</v>
      </c>
      <c r="G46" s="227">
        <f t="shared" si="28"/>
        <v>-138202322.31270355</v>
      </c>
      <c r="H46" s="227">
        <f t="shared" si="28"/>
        <v>-9923225.1630090475</v>
      </c>
      <c r="I46" s="227">
        <f t="shared" si="28"/>
        <v>-93652810.753009021</v>
      </c>
      <c r="J46" s="227">
        <f t="shared" si="28"/>
        <v>-120233707.81300902</v>
      </c>
      <c r="K46" s="227">
        <f t="shared" si="28"/>
        <v>-134642717.81300902</v>
      </c>
      <c r="L46" s="227">
        <f t="shared" si="28"/>
        <v>-253660201.93300909</v>
      </c>
      <c r="M46" s="227">
        <f t="shared" si="28"/>
        <v>131742884.83699095</v>
      </c>
      <c r="N46" s="819">
        <f t="shared" si="28"/>
        <v>702925202.16418219</v>
      </c>
      <c r="O46" s="353">
        <f>O42+SUM(O43:O45)</f>
        <v>66585819</v>
      </c>
      <c r="P46" s="227">
        <f>P42+SUM(P43:P45)</f>
        <v>64556904</v>
      </c>
      <c r="Q46" s="352">
        <f>Q42+SUM(Q43:Q45)</f>
        <v>50000766.606109142</v>
      </c>
    </row>
    <row r="47" spans="1:17" s="709" customFormat="1" x14ac:dyDescent="0.25">
      <c r="A47" s="1420" t="str">
        <f>head27a</f>
        <v>References</v>
      </c>
      <c r="B47" s="1084"/>
      <c r="C47" s="1040"/>
      <c r="D47" s="1040"/>
      <c r="E47" s="1040"/>
      <c r="F47" s="1040"/>
      <c r="G47" s="1040"/>
      <c r="H47" s="1040"/>
      <c r="I47" s="1040"/>
      <c r="J47" s="1040"/>
      <c r="K47" s="1040"/>
      <c r="L47" s="1040"/>
      <c r="M47" s="1040"/>
      <c r="N47" s="1040"/>
      <c r="O47" s="1040"/>
      <c r="P47" s="1040"/>
      <c r="Q47" s="1040"/>
    </row>
    <row r="48" spans="1:17" s="709" customFormat="1" x14ac:dyDescent="0.25">
      <c r="A48" s="1418" t="s">
        <v>1599</v>
      </c>
    </row>
    <row r="49" spans="1:17" x14ac:dyDescent="0.25">
      <c r="A49" s="437" t="s">
        <v>1512</v>
      </c>
      <c r="B49" s="437"/>
      <c r="O49" s="879">
        <f>O46-'A4-FinPerf RE'!J48</f>
        <v>0</v>
      </c>
      <c r="P49" s="879">
        <f>P46-'A4-FinPerf RE'!K48</f>
        <v>0</v>
      </c>
      <c r="Q49" s="879">
        <f>Q46-'A4-FinPerf RE'!L48</f>
        <v>0</v>
      </c>
    </row>
  </sheetData>
  <sheetProtection password="C646" sheet="1" objects="1" scenarios="1"/>
  <mergeCells count="2">
    <mergeCell ref="C2:N2"/>
    <mergeCell ref="O2:Q2"/>
  </mergeCells>
  <phoneticPr fontId="2" type="noConversion"/>
  <printOptions horizontalCentered="1"/>
  <pageMargins left="0.36" right="0" top="0.78740157480314965" bottom="0.59055118110236227" header="0.51181102362204722" footer="0.39370078740157483"/>
  <pageSetup paperSize="9" scale="87"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enableFormatConditionsCalculation="0">
    <tabColor indexed="42"/>
    <pageSetUpPr fitToPage="1"/>
  </sheetPr>
  <dimension ref="A1:R48"/>
  <sheetViews>
    <sheetView showGridLines="0" zoomScaleNormal="100" workbookViewId="0">
      <pane xSplit="2" ySplit="3" topLeftCell="F37" activePane="bottomRight" state="frozen"/>
      <selection pane="topRight"/>
      <selection pane="bottomLeft"/>
      <selection pane="bottomRight" activeCell="M1" sqref="M1"/>
    </sheetView>
  </sheetViews>
  <sheetFormatPr defaultColWidth="9.1796875" defaultRowHeight="10.5" x14ac:dyDescent="0.25"/>
  <cols>
    <col min="1" max="1" width="30.7265625" style="149" customWidth="1"/>
    <col min="2" max="2" width="3" style="149" customWidth="1"/>
    <col min="3" max="14" width="8.26953125" style="149" customWidth="1"/>
    <col min="15" max="17" width="9.26953125" style="149" customWidth="1"/>
    <col min="18" max="16384" width="9.1796875" style="149"/>
  </cols>
  <sheetData>
    <row r="1" spans="1:18" ht="13.5" customHeight="1" x14ac:dyDescent="0.3">
      <c r="A1" s="147" t="str">
        <f>muni&amp;" - "&amp;TableA26</f>
        <v>KZN225 Msunduzi - Supporting Table SA26 Consolidated budgeted monthly revenue and expenditure (municipal vote)</v>
      </c>
      <c r="B1" s="147"/>
      <c r="C1" s="147"/>
      <c r="D1" s="147"/>
      <c r="E1" s="147"/>
      <c r="F1" s="147"/>
      <c r="G1" s="147"/>
      <c r="H1" s="147"/>
      <c r="I1" s="147"/>
      <c r="J1" s="147"/>
      <c r="K1" s="147"/>
      <c r="L1" s="147"/>
      <c r="M1" s="147"/>
      <c r="N1" s="147"/>
      <c r="O1" s="147"/>
      <c r="P1" s="147"/>
      <c r="Q1" s="147"/>
    </row>
    <row r="2" spans="1:18" ht="28.5" customHeight="1" x14ac:dyDescent="0.25">
      <c r="A2" s="985" t="str">
        <f>desc</f>
        <v>Description</v>
      </c>
      <c r="B2" s="997" t="str">
        <f>head27</f>
        <v>Ref</v>
      </c>
      <c r="C2" s="2677" t="str">
        <f>Head9</f>
        <v>Budget Year 2013/14</v>
      </c>
      <c r="D2" s="2678"/>
      <c r="E2" s="2678"/>
      <c r="F2" s="2678"/>
      <c r="G2" s="2678"/>
      <c r="H2" s="2678"/>
      <c r="I2" s="2678"/>
      <c r="J2" s="2678"/>
      <c r="K2" s="2678"/>
      <c r="L2" s="2678"/>
      <c r="M2" s="2678"/>
      <c r="N2" s="2678"/>
      <c r="O2" s="2674" t="s">
        <v>1790</v>
      </c>
      <c r="P2" s="2675"/>
      <c r="Q2" s="2676"/>
    </row>
    <row r="3" spans="1:18" ht="21" x14ac:dyDescent="0.25">
      <c r="A3" s="992" t="s">
        <v>665</v>
      </c>
      <c r="B3" s="998"/>
      <c r="C3" s="299" t="s">
        <v>723</v>
      </c>
      <c r="D3" s="928" t="s">
        <v>1400</v>
      </c>
      <c r="E3" s="928" t="s">
        <v>1401</v>
      </c>
      <c r="F3" s="928" t="s">
        <v>1402</v>
      </c>
      <c r="G3" s="928" t="s">
        <v>704</v>
      </c>
      <c r="H3" s="928" t="s">
        <v>705</v>
      </c>
      <c r="I3" s="928" t="s">
        <v>706</v>
      </c>
      <c r="J3" s="928" t="s">
        <v>707</v>
      </c>
      <c r="K3" s="928" t="s">
        <v>708</v>
      </c>
      <c r="L3" s="928" t="s">
        <v>709</v>
      </c>
      <c r="M3" s="928" t="s">
        <v>710</v>
      </c>
      <c r="N3" s="391" t="s">
        <v>711</v>
      </c>
      <c r="O3" s="299" t="str">
        <f>Head9</f>
        <v>Budget Year 2013/14</v>
      </c>
      <c r="P3" s="390" t="str">
        <f>Head10</f>
        <v>Budget Year +1 2014/15</v>
      </c>
      <c r="Q3" s="391" t="str">
        <f>Head11</f>
        <v>Budget Year +2 2015/16</v>
      </c>
    </row>
    <row r="4" spans="1:18" x14ac:dyDescent="0.25">
      <c r="A4" s="249" t="str">
        <f>'A3-FinPerf V'!A4</f>
        <v>Revenue by Vote</v>
      </c>
      <c r="B4" s="867"/>
      <c r="C4" s="317"/>
      <c r="D4" s="315"/>
      <c r="E4" s="315"/>
      <c r="F4" s="315"/>
      <c r="G4" s="315"/>
      <c r="H4" s="315"/>
      <c r="I4" s="315"/>
      <c r="J4" s="315"/>
      <c r="K4" s="315"/>
      <c r="L4" s="315"/>
      <c r="M4" s="315"/>
      <c r="N4" s="993"/>
      <c r="O4" s="406"/>
      <c r="P4" s="315"/>
      <c r="Q4" s="318"/>
    </row>
    <row r="5" spans="1:18" ht="11.25" customHeight="1" x14ac:dyDescent="0.25">
      <c r="A5" s="1173" t="str">
        <f>'A3-FinPerf V'!A5</f>
        <v xml:space="preserve">Vote 1 - Corporate Services </v>
      </c>
      <c r="B5" s="864"/>
      <c r="C5" s="1635">
        <f>O5*0.1</f>
        <v>2411227.333272526</v>
      </c>
      <c r="D5" s="1614">
        <f>O5*0.09</f>
        <v>2170104.5999452733</v>
      </c>
      <c r="E5" s="1614">
        <f>O5*0.11</f>
        <v>2652350.0665997788</v>
      </c>
      <c r="F5" s="1614">
        <f>O5*0.12</f>
        <v>2893472.7999270312</v>
      </c>
      <c r="G5" s="1614">
        <f>O5*0.15</f>
        <v>3616840.9999087891</v>
      </c>
      <c r="H5" s="1614">
        <f>O5*0.1</f>
        <v>2411227.333272526</v>
      </c>
      <c r="I5" s="1614">
        <f>O5*0.1</f>
        <v>2411227.333272526</v>
      </c>
      <c r="J5" s="1614">
        <f>O5*0.03</f>
        <v>723368.19998175779</v>
      </c>
      <c r="K5" s="1614">
        <f>O5*0.06</f>
        <v>1446736.3999635156</v>
      </c>
      <c r="L5" s="1614">
        <f>O5*0.08</f>
        <v>1928981.8666180209</v>
      </c>
      <c r="M5" s="1614">
        <f>185000/2</f>
        <v>92500</v>
      </c>
      <c r="N5" s="808">
        <f t="shared" ref="N5:N10" si="0">O5-SUM(C5:M5)</f>
        <v>1354236.399963513</v>
      </c>
      <c r="O5" s="206">
        <f>'A3-FinPerf V'!I5</f>
        <v>24112273.33272526</v>
      </c>
      <c r="P5" s="203">
        <f>'A3-FinPerf V'!J5</f>
        <v>24459221.921070322</v>
      </c>
      <c r="Q5" s="204">
        <f>'A3-FinPerf V'!K5</f>
        <v>23050170.512609292</v>
      </c>
    </row>
    <row r="6" spans="1:18" ht="11.25" customHeight="1" x14ac:dyDescent="0.25">
      <c r="A6" s="1173" t="str">
        <f>'A3-FinPerf V'!A6</f>
        <v>Vote 2 - Financial Management Area</v>
      </c>
      <c r="B6" s="864"/>
      <c r="C6" s="1635">
        <f>O6*0.1</f>
        <v>94813809.178402096</v>
      </c>
      <c r="D6" s="1614">
        <f>O6*0.09</f>
        <v>85332428.260561883</v>
      </c>
      <c r="E6" s="1614">
        <f>O6*0.11</f>
        <v>104295190.09624229</v>
      </c>
      <c r="F6" s="1614">
        <f>O6*0.12</f>
        <v>113776571.01408251</v>
      </c>
      <c r="G6" s="1614">
        <f>O6*0.15</f>
        <v>142220713.76760313</v>
      </c>
      <c r="H6" s="1614">
        <f>O6*0.1</f>
        <v>94813809.178402096</v>
      </c>
      <c r="I6" s="1614">
        <f>O6*0.1</f>
        <v>94813809.178402096</v>
      </c>
      <c r="J6" s="1614">
        <f>O6*0.03</f>
        <v>28444142.753520627</v>
      </c>
      <c r="K6" s="1614">
        <f>O6*0.06</f>
        <v>56888285.507041253</v>
      </c>
      <c r="L6" s="1614">
        <f>O6*0.08</f>
        <v>75851047.342721671</v>
      </c>
      <c r="M6" s="1614">
        <f>40789000/2</f>
        <v>20394500</v>
      </c>
      <c r="N6" s="808">
        <f t="shared" si="0"/>
        <v>36493785.507041335</v>
      </c>
      <c r="O6" s="206">
        <f>'A3-FinPerf V'!I6</f>
        <v>948138091.7840209</v>
      </c>
      <c r="P6" s="207">
        <f>'A3-FinPerf V'!J6</f>
        <v>934649990.67843556</v>
      </c>
      <c r="Q6" s="264">
        <f>'A3-FinPerf V'!K6</f>
        <v>1032208660.3938439</v>
      </c>
    </row>
    <row r="7" spans="1:18" ht="11.25" customHeight="1" x14ac:dyDescent="0.25">
      <c r="A7" s="1173" t="str">
        <f>'A3-FinPerf V'!A7</f>
        <v>Vote 3 - Infrastructure Development, Service Delivery and Maintenance Management</v>
      </c>
      <c r="B7" s="864"/>
      <c r="C7" s="1635">
        <f>O7*0.1</f>
        <v>250963014.87418395</v>
      </c>
      <c r="D7" s="1614">
        <f>O7*0.09</f>
        <v>225866713.38676554</v>
      </c>
      <c r="E7" s="1614">
        <f>O7*0.11</f>
        <v>276059316.36160237</v>
      </c>
      <c r="F7" s="1614">
        <f>O7*0.12</f>
        <v>301155617.84902072</v>
      </c>
      <c r="G7" s="1614">
        <f>O7*0.15</f>
        <v>376444522.3112759</v>
      </c>
      <c r="H7" s="1614">
        <f>O7*0.1</f>
        <v>250963014.87418395</v>
      </c>
      <c r="I7" s="1614">
        <f>O7*0.1</f>
        <v>250963014.87418395</v>
      </c>
      <c r="J7" s="1614">
        <f>O7*0.03</f>
        <v>75288904.46225518</v>
      </c>
      <c r="K7" s="1614">
        <f>O7*0.06</f>
        <v>150577808.92451036</v>
      </c>
      <c r="L7" s="1614">
        <f>O7*0.08</f>
        <v>200770411.89934716</v>
      </c>
      <c r="M7" s="1614">
        <f>154407000/2</f>
        <v>77203500</v>
      </c>
      <c r="N7" s="808">
        <f t="shared" si="0"/>
        <v>73374308.924510002</v>
      </c>
      <c r="O7" s="206">
        <f>'A3-FinPerf V'!I7</f>
        <v>2509630148.7418394</v>
      </c>
      <c r="P7" s="207">
        <f>'A3-FinPerf V'!J7</f>
        <v>2704064914.6534824</v>
      </c>
      <c r="Q7" s="264">
        <f>'A3-FinPerf V'!K7</f>
        <v>2942284058.7700081</v>
      </c>
    </row>
    <row r="8" spans="1:18" ht="11.25" customHeight="1" x14ac:dyDescent="0.25">
      <c r="A8" s="1173" t="str">
        <f>'A3-FinPerf V'!A8</f>
        <v>Vote 4 - Sustainable Community Service Delivery Provision Management</v>
      </c>
      <c r="B8" s="864"/>
      <c r="C8" s="1635">
        <f>O8*0.1</f>
        <v>5853299.9696844807</v>
      </c>
      <c r="D8" s="1614">
        <f>O8*0.09</f>
        <v>5267969.9727160316</v>
      </c>
      <c r="E8" s="1614">
        <f>O8*0.11</f>
        <v>6438629.9666529279</v>
      </c>
      <c r="F8" s="1614">
        <f>O8*0.12</f>
        <v>7023959.9636213761</v>
      </c>
      <c r="G8" s="1614">
        <f>O8*0.15</f>
        <v>8779949.9545267206</v>
      </c>
      <c r="H8" s="1614">
        <f>O8*0.1</f>
        <v>5853299.9696844807</v>
      </c>
      <c r="I8" s="1614">
        <f>O8*0.1</f>
        <v>5853299.9696844807</v>
      </c>
      <c r="J8" s="1614">
        <f>O8*0.03</f>
        <v>1755989.990905344</v>
      </c>
      <c r="K8" s="1614">
        <f>O8*0.06</f>
        <v>3511979.981810688</v>
      </c>
      <c r="L8" s="1614">
        <f>O8*0.08</f>
        <v>4682639.9757475844</v>
      </c>
      <c r="M8" s="1614">
        <f>3067000/2</f>
        <v>1533500</v>
      </c>
      <c r="N8" s="808">
        <f t="shared" si="0"/>
        <v>1978479.9818106815</v>
      </c>
      <c r="O8" s="206">
        <f>'A3-FinPerf V'!I8</f>
        <v>58532999.696844801</v>
      </c>
      <c r="P8" s="207">
        <f>'A3-FinPerf V'!J8</f>
        <v>59375223.958995156</v>
      </c>
      <c r="Q8" s="264">
        <f>'A3-FinPerf V'!K8</f>
        <v>55954725.007021546</v>
      </c>
    </row>
    <row r="9" spans="1:18" ht="11.25" customHeight="1" x14ac:dyDescent="0.25">
      <c r="A9" s="1173" t="str">
        <f>'A3-FinPerf V'!A9</f>
        <v>Vote 5 - [NAME OF VOTE 5]</v>
      </c>
      <c r="B9" s="864"/>
      <c r="C9" s="1635"/>
      <c r="D9" s="1614"/>
      <c r="E9" s="1614"/>
      <c r="F9" s="1614"/>
      <c r="G9" s="1614"/>
      <c r="H9" s="1614"/>
      <c r="I9" s="1614"/>
      <c r="J9" s="1614"/>
      <c r="K9" s="1614"/>
      <c r="L9" s="1614"/>
      <c r="M9" s="1614"/>
      <c r="N9" s="808">
        <f t="shared" si="0"/>
        <v>0</v>
      </c>
      <c r="O9" s="206">
        <f>'A3-FinPerf V'!I9</f>
        <v>0</v>
      </c>
      <c r="P9" s="207">
        <f>'A3-FinPerf V'!J9</f>
        <v>0</v>
      </c>
      <c r="Q9" s="264">
        <f>'A3-FinPerf V'!K9</f>
        <v>0</v>
      </c>
    </row>
    <row r="10" spans="1:18" ht="11.25" customHeight="1" x14ac:dyDescent="0.25">
      <c r="A10" s="1173" t="str">
        <f>'A3-FinPerf V'!A10</f>
        <v>Vote 6 - [NAME OF VOTE 6]</v>
      </c>
      <c r="B10" s="864"/>
      <c r="C10" s="1635"/>
      <c r="D10" s="1614"/>
      <c r="E10" s="1614"/>
      <c r="F10" s="1614"/>
      <c r="G10" s="1614"/>
      <c r="H10" s="1614"/>
      <c r="I10" s="1614"/>
      <c r="J10" s="1614"/>
      <c r="K10" s="1614"/>
      <c r="L10" s="1614"/>
      <c r="M10" s="1614"/>
      <c r="N10" s="808">
        <f t="shared" si="0"/>
        <v>0</v>
      </c>
      <c r="O10" s="206">
        <f>'A3-FinPerf V'!I10</f>
        <v>0</v>
      </c>
      <c r="P10" s="207">
        <f>'A3-FinPerf V'!J10</f>
        <v>0</v>
      </c>
      <c r="Q10" s="264">
        <f>'A3-FinPerf V'!K10</f>
        <v>0</v>
      </c>
    </row>
    <row r="11" spans="1:18" ht="11.25" customHeight="1" x14ac:dyDescent="0.25">
      <c r="A11" s="1173" t="str">
        <f>'A3-FinPerf V'!A11</f>
        <v>Vote 7 - [NAME OF VOTE 7]</v>
      </c>
      <c r="B11" s="864"/>
      <c r="C11" s="1635"/>
      <c r="D11" s="1614"/>
      <c r="E11" s="1614"/>
      <c r="F11" s="1614"/>
      <c r="G11" s="1614"/>
      <c r="H11" s="1614"/>
      <c r="I11" s="1614"/>
      <c r="J11" s="1614"/>
      <c r="K11" s="1614"/>
      <c r="L11" s="1614"/>
      <c r="M11" s="1614"/>
      <c r="N11" s="808">
        <f>O11-SUM(C11:M11)</f>
        <v>0</v>
      </c>
      <c r="O11" s="206">
        <f>'A3-FinPerf V'!I11</f>
        <v>0</v>
      </c>
      <c r="P11" s="207">
        <f>'A3-FinPerf V'!J11</f>
        <v>0</v>
      </c>
      <c r="Q11" s="264">
        <f>'A3-FinPerf V'!K11</f>
        <v>0</v>
      </c>
    </row>
    <row r="12" spans="1:18" ht="11.25" customHeight="1" x14ac:dyDescent="0.25">
      <c r="A12" s="1173" t="str">
        <f>'A3-FinPerf V'!A12</f>
        <v>Vote 8 - [NAME OF VOTE 8]</v>
      </c>
      <c r="B12" s="864"/>
      <c r="C12" s="1635"/>
      <c r="D12" s="1614"/>
      <c r="E12" s="1614"/>
      <c r="F12" s="1614"/>
      <c r="G12" s="1614"/>
      <c r="H12" s="1614"/>
      <c r="I12" s="1614"/>
      <c r="J12" s="1614"/>
      <c r="K12" s="1614"/>
      <c r="L12" s="1614"/>
      <c r="M12" s="1614"/>
      <c r="N12" s="808">
        <f>O12-SUM(C12:M12)</f>
        <v>0</v>
      </c>
      <c r="O12" s="206">
        <f>'A3-FinPerf V'!I12</f>
        <v>0</v>
      </c>
      <c r="P12" s="207">
        <f>'A3-FinPerf V'!J12</f>
        <v>0</v>
      </c>
      <c r="Q12" s="264">
        <f>'A3-FinPerf V'!K12</f>
        <v>0</v>
      </c>
    </row>
    <row r="13" spans="1:18" ht="11.25" customHeight="1" x14ac:dyDescent="0.25">
      <c r="A13" s="1173" t="str">
        <f>'A3-FinPerf V'!A13</f>
        <v>Vote 9 - [NAME OF VOTE 9]</v>
      </c>
      <c r="B13" s="864"/>
      <c r="C13" s="1635"/>
      <c r="D13" s="1614"/>
      <c r="E13" s="1614"/>
      <c r="F13" s="1614"/>
      <c r="G13" s="1614"/>
      <c r="H13" s="1614"/>
      <c r="I13" s="1614"/>
      <c r="J13" s="1614"/>
      <c r="K13" s="1614"/>
      <c r="L13" s="1614"/>
      <c r="M13" s="1614"/>
      <c r="N13" s="808">
        <f>O13-SUM(C13:M13)</f>
        <v>0</v>
      </c>
      <c r="O13" s="206">
        <f>'A3-FinPerf V'!I13</f>
        <v>0</v>
      </c>
      <c r="P13" s="207">
        <f>'A3-FinPerf V'!J13</f>
        <v>0</v>
      </c>
      <c r="Q13" s="264">
        <f>'A3-FinPerf V'!K13</f>
        <v>0</v>
      </c>
      <c r="R13" s="370"/>
    </row>
    <row r="14" spans="1:18" ht="11.25" customHeight="1" x14ac:dyDescent="0.25">
      <c r="A14" s="1173" t="str">
        <f>'A3-FinPerf V'!A14</f>
        <v>Vote 10 - [NAME OF VOTE 10]</v>
      </c>
      <c r="B14" s="864"/>
      <c r="C14" s="1635"/>
      <c r="D14" s="1614"/>
      <c r="E14" s="1614"/>
      <c r="F14" s="1614"/>
      <c r="G14" s="1614"/>
      <c r="H14" s="1614"/>
      <c r="I14" s="1614"/>
      <c r="J14" s="1614"/>
      <c r="K14" s="1614"/>
      <c r="L14" s="1614"/>
      <c r="M14" s="1614"/>
      <c r="N14" s="808">
        <f t="shared" ref="N14:N19" si="1">O14-SUM(C14:M14)</f>
        <v>0</v>
      </c>
      <c r="O14" s="206">
        <f>'A3-FinPerf V'!I14</f>
        <v>0</v>
      </c>
      <c r="P14" s="207">
        <f>'A3-FinPerf V'!J14</f>
        <v>0</v>
      </c>
      <c r="Q14" s="264">
        <f>'A3-FinPerf V'!K14</f>
        <v>0</v>
      </c>
      <c r="R14" s="370"/>
    </row>
    <row r="15" spans="1:18" ht="11.25" customHeight="1" x14ac:dyDescent="0.25">
      <c r="A15" s="1173" t="str">
        <f>'A3-FinPerf V'!A15</f>
        <v>Vote 11 - [NAME OF VOTE 11]</v>
      </c>
      <c r="B15" s="864"/>
      <c r="C15" s="1635"/>
      <c r="D15" s="1614"/>
      <c r="E15" s="1614"/>
      <c r="F15" s="1614"/>
      <c r="G15" s="1614"/>
      <c r="H15" s="1614"/>
      <c r="I15" s="1614"/>
      <c r="J15" s="1614"/>
      <c r="K15" s="1614"/>
      <c r="L15" s="1614"/>
      <c r="M15" s="1614"/>
      <c r="N15" s="808">
        <f t="shared" si="1"/>
        <v>0</v>
      </c>
      <c r="O15" s="206">
        <f>'A3-FinPerf V'!I15</f>
        <v>0</v>
      </c>
      <c r="P15" s="207">
        <f>'A3-FinPerf V'!J15</f>
        <v>0</v>
      </c>
      <c r="Q15" s="264">
        <f>'A3-FinPerf V'!K15</f>
        <v>0</v>
      </c>
      <c r="R15" s="370"/>
    </row>
    <row r="16" spans="1:18" ht="11.25" customHeight="1" x14ac:dyDescent="0.25">
      <c r="A16" s="1173" t="str">
        <f>'A3-FinPerf V'!A16</f>
        <v>Vote 12 - [NAME OF VOTE 12]</v>
      </c>
      <c r="B16" s="864"/>
      <c r="C16" s="1635"/>
      <c r="D16" s="1614"/>
      <c r="E16" s="1614"/>
      <c r="F16" s="1614"/>
      <c r="G16" s="1614"/>
      <c r="H16" s="1614"/>
      <c r="I16" s="1614"/>
      <c r="J16" s="1614"/>
      <c r="K16" s="1614"/>
      <c r="L16" s="1614"/>
      <c r="M16" s="1614"/>
      <c r="N16" s="808">
        <f t="shared" si="1"/>
        <v>0</v>
      </c>
      <c r="O16" s="206">
        <f>'A3-FinPerf V'!I16</f>
        <v>0</v>
      </c>
      <c r="P16" s="207">
        <f>'A3-FinPerf V'!J16</f>
        <v>0</v>
      </c>
      <c r="Q16" s="264">
        <f>'A3-FinPerf V'!K16</f>
        <v>0</v>
      </c>
      <c r="R16" s="370"/>
    </row>
    <row r="17" spans="1:18" ht="11.25" customHeight="1" x14ac:dyDescent="0.25">
      <c r="A17" s="1173" t="str">
        <f>'A3-FinPerf V'!A17</f>
        <v>Vote 13 - [NAME OF VOTE 13]</v>
      </c>
      <c r="B17" s="864"/>
      <c r="C17" s="1635"/>
      <c r="D17" s="1614"/>
      <c r="E17" s="1614"/>
      <c r="F17" s="1614"/>
      <c r="G17" s="1614"/>
      <c r="H17" s="1614"/>
      <c r="I17" s="1614"/>
      <c r="J17" s="1614"/>
      <c r="K17" s="1614"/>
      <c r="L17" s="1614"/>
      <c r="M17" s="1614"/>
      <c r="N17" s="808">
        <f t="shared" si="1"/>
        <v>0</v>
      </c>
      <c r="O17" s="206">
        <f>'A3-FinPerf V'!I17</f>
        <v>0</v>
      </c>
      <c r="P17" s="207">
        <f>'A3-FinPerf V'!J17</f>
        <v>0</v>
      </c>
      <c r="Q17" s="264">
        <f>'A3-FinPerf V'!K17</f>
        <v>0</v>
      </c>
      <c r="R17" s="370"/>
    </row>
    <row r="18" spans="1:18" ht="11.25" customHeight="1" x14ac:dyDescent="0.25">
      <c r="A18" s="1173" t="str">
        <f>'A3-FinPerf V'!A18</f>
        <v>Vote 14 - [NAME OF VOTE 14]</v>
      </c>
      <c r="B18" s="864"/>
      <c r="C18" s="1635"/>
      <c r="D18" s="1614"/>
      <c r="E18" s="1614"/>
      <c r="F18" s="1614"/>
      <c r="G18" s="1614"/>
      <c r="H18" s="1614"/>
      <c r="I18" s="1614"/>
      <c r="J18" s="1614"/>
      <c r="K18" s="1614"/>
      <c r="L18" s="1614"/>
      <c r="M18" s="1614"/>
      <c r="N18" s="808">
        <f t="shared" si="1"/>
        <v>0</v>
      </c>
      <c r="O18" s="206">
        <f>'A3-FinPerf V'!I18</f>
        <v>0</v>
      </c>
      <c r="P18" s="207">
        <f>'A3-FinPerf V'!J18</f>
        <v>0</v>
      </c>
      <c r="Q18" s="264">
        <f>'A3-FinPerf V'!K18</f>
        <v>0</v>
      </c>
      <c r="R18" s="370"/>
    </row>
    <row r="19" spans="1:18" ht="11.25" customHeight="1" x14ac:dyDescent="0.25">
      <c r="A19" s="1173" t="str">
        <f>'A3-FinPerf V'!A19</f>
        <v>Vote 15 - [NAME OF VOTE 15]</v>
      </c>
      <c r="B19" s="864"/>
      <c r="C19" s="1635"/>
      <c r="D19" s="1614"/>
      <c r="E19" s="1614"/>
      <c r="F19" s="1614"/>
      <c r="G19" s="1614"/>
      <c r="H19" s="1614"/>
      <c r="I19" s="1614"/>
      <c r="J19" s="1614"/>
      <c r="K19" s="1614"/>
      <c r="L19" s="1614"/>
      <c r="M19" s="1614"/>
      <c r="N19" s="808">
        <f t="shared" si="1"/>
        <v>0</v>
      </c>
      <c r="O19" s="206">
        <f>'A3-FinPerf V'!I19</f>
        <v>0</v>
      </c>
      <c r="P19" s="207">
        <f>'A3-FinPerf V'!J19</f>
        <v>0</v>
      </c>
      <c r="Q19" s="264">
        <f>'A3-FinPerf V'!K19</f>
        <v>0</v>
      </c>
      <c r="R19" s="370"/>
    </row>
    <row r="20" spans="1:18" x14ac:dyDescent="0.25">
      <c r="A20" s="265" t="str">
        <f>'A3-FinPerf V'!A20</f>
        <v>Total Revenue by Vote</v>
      </c>
      <c r="B20" s="865"/>
      <c r="C20" s="215">
        <f t="shared" ref="C20:Q20" si="2">SUM(C5:C19)</f>
        <v>354041351.35554308</v>
      </c>
      <c r="D20" s="213">
        <f t="shared" si="2"/>
        <v>318637216.21998876</v>
      </c>
      <c r="E20" s="213">
        <f t="shared" si="2"/>
        <v>389445486.49109739</v>
      </c>
      <c r="F20" s="213">
        <f>SUM(F5:F19)</f>
        <v>424849621.62665164</v>
      </c>
      <c r="G20" s="213">
        <f t="shared" si="2"/>
        <v>531062027.03331453</v>
      </c>
      <c r="H20" s="213">
        <f t="shared" si="2"/>
        <v>354041351.35554308</v>
      </c>
      <c r="I20" s="213">
        <f t="shared" si="2"/>
        <v>354041351.35554308</v>
      </c>
      <c r="J20" s="213">
        <f t="shared" si="2"/>
        <v>106212405.40666291</v>
      </c>
      <c r="K20" s="213">
        <f t="shared" si="2"/>
        <v>212424810.81332582</v>
      </c>
      <c r="L20" s="213">
        <f t="shared" si="2"/>
        <v>283233081.08443445</v>
      </c>
      <c r="M20" s="213">
        <f t="shared" si="2"/>
        <v>99224000</v>
      </c>
      <c r="N20" s="866">
        <f t="shared" si="2"/>
        <v>113200810.81332552</v>
      </c>
      <c r="O20" s="216">
        <f t="shared" si="2"/>
        <v>3540413513.5554299</v>
      </c>
      <c r="P20" s="213">
        <f t="shared" si="2"/>
        <v>3722549351.2119837</v>
      </c>
      <c r="Q20" s="214">
        <f t="shared" si="2"/>
        <v>4053497614.6834826</v>
      </c>
      <c r="R20" s="370"/>
    </row>
    <row r="21" spans="1:18" ht="5.15" customHeight="1" x14ac:dyDescent="0.25">
      <c r="A21" s="273"/>
      <c r="B21" s="864"/>
      <c r="C21" s="205"/>
      <c r="D21" s="203"/>
      <c r="E21" s="203"/>
      <c r="F21" s="203"/>
      <c r="G21" s="203"/>
      <c r="H21" s="203"/>
      <c r="I21" s="203"/>
      <c r="J21" s="203"/>
      <c r="K21" s="203"/>
      <c r="L21" s="203"/>
      <c r="M21" s="203"/>
      <c r="N21" s="808"/>
      <c r="O21" s="206"/>
      <c r="P21" s="203"/>
      <c r="Q21" s="204"/>
      <c r="R21" s="370"/>
    </row>
    <row r="22" spans="1:18" x14ac:dyDescent="0.25">
      <c r="A22" s="249" t="str">
        <f>'A3-FinPerf V'!A22</f>
        <v>Expenditure by Vote to be appropriated</v>
      </c>
      <c r="B22" s="867"/>
      <c r="C22" s="205"/>
      <c r="D22" s="203"/>
      <c r="E22" s="203"/>
      <c r="F22" s="203"/>
      <c r="G22" s="203"/>
      <c r="H22" s="203"/>
      <c r="I22" s="203"/>
      <c r="J22" s="203"/>
      <c r="K22" s="203"/>
      <c r="L22" s="203"/>
      <c r="M22" s="203"/>
      <c r="N22" s="808"/>
      <c r="O22" s="206"/>
      <c r="P22" s="203"/>
      <c r="Q22" s="204"/>
      <c r="R22" s="370"/>
    </row>
    <row r="23" spans="1:18" ht="11.25" customHeight="1" x14ac:dyDescent="0.25">
      <c r="A23" s="250" t="str">
        <f t="shared" ref="A23:A31" si="3">A5</f>
        <v xml:space="preserve">Vote 1 - Corporate Services </v>
      </c>
      <c r="B23" s="864"/>
      <c r="C23" s="1635">
        <f>O23*0.1</f>
        <v>28554388.878965724</v>
      </c>
      <c r="D23" s="1614">
        <f>O23*0.09</f>
        <v>25698949.991069149</v>
      </c>
      <c r="E23" s="1614">
        <f>O23*0.11</f>
        <v>31409827.766862296</v>
      </c>
      <c r="F23" s="1614">
        <f>O23*0.12</f>
        <v>34265266.654758871</v>
      </c>
      <c r="G23" s="1614">
        <f>O23*0.15</f>
        <v>42831583.318448581</v>
      </c>
      <c r="H23" s="1614">
        <f>O23*0.1</f>
        <v>28554388.878965724</v>
      </c>
      <c r="I23" s="1614">
        <f>O23*0.1</f>
        <v>28554388.878965724</v>
      </c>
      <c r="J23" s="1614">
        <f>O23*0.03</f>
        <v>8566316.6636897177</v>
      </c>
      <c r="K23" s="1614">
        <f>O23*0.06</f>
        <v>17132633.327379435</v>
      </c>
      <c r="L23" s="1614">
        <f>O23*0.08</f>
        <v>22843511.103172578</v>
      </c>
      <c r="M23" s="1614">
        <f>14773000/2</f>
        <v>7386500</v>
      </c>
      <c r="N23" s="808">
        <f t="shared" ref="N23:N29" si="4">O23-SUM(C23:M23)</f>
        <v>9746133.3273794055</v>
      </c>
      <c r="O23" s="206">
        <f>'A3-FinPerf V'!I23</f>
        <v>285543888.78965724</v>
      </c>
      <c r="P23" s="203">
        <f>'A3-FinPerf V'!J23</f>
        <v>312317351.95066243</v>
      </c>
      <c r="Q23" s="204">
        <f>'A3-FinPerf V'!K23</f>
        <v>340422107.05308932</v>
      </c>
      <c r="R23" s="370"/>
    </row>
    <row r="24" spans="1:18" ht="11.25" customHeight="1" x14ac:dyDescent="0.25">
      <c r="A24" s="250" t="str">
        <f t="shared" si="3"/>
        <v>Vote 2 - Financial Management Area</v>
      </c>
      <c r="B24" s="864"/>
      <c r="C24" s="1635">
        <f>O24*0.1</f>
        <v>24442073.94692466</v>
      </c>
      <c r="D24" s="1614">
        <f>O24*0.09</f>
        <v>21997866.552232195</v>
      </c>
      <c r="E24" s="1614">
        <f>O24*0.11</f>
        <v>26886281.341617126</v>
      </c>
      <c r="F24" s="1614">
        <f>O24*0.12</f>
        <v>29330488.736309592</v>
      </c>
      <c r="G24" s="1614">
        <f>O24*0.15</f>
        <v>36663110.920386985</v>
      </c>
      <c r="H24" s="1614">
        <f>O24*0.1</f>
        <v>24442073.94692466</v>
      </c>
      <c r="I24" s="1614">
        <f>O24*0.1</f>
        <v>24442073.94692466</v>
      </c>
      <c r="J24" s="1614">
        <f>O24*0.03</f>
        <v>7332622.1840773979</v>
      </c>
      <c r="K24" s="1614">
        <f>O24*0.06</f>
        <v>14665244.368154796</v>
      </c>
      <c r="L24" s="1614">
        <f>O24*0.08</f>
        <v>19553659.157539729</v>
      </c>
      <c r="M24" s="1614">
        <f>13220000/2</f>
        <v>6610000</v>
      </c>
      <c r="N24" s="808">
        <f t="shared" si="4"/>
        <v>8055244.368154794</v>
      </c>
      <c r="O24" s="206">
        <f>'A3-FinPerf V'!I24</f>
        <v>244420739.4692466</v>
      </c>
      <c r="P24" s="203">
        <f>'A3-FinPerf V'!J24</f>
        <v>120176885.40701947</v>
      </c>
      <c r="Q24" s="204">
        <f>'A3-FinPerf V'!K24</f>
        <v>271644565.35633981</v>
      </c>
      <c r="R24" s="370"/>
    </row>
    <row r="25" spans="1:18" ht="11.25" customHeight="1" x14ac:dyDescent="0.25">
      <c r="A25" s="250" t="str">
        <f t="shared" si="3"/>
        <v>Vote 3 - Infrastructure Development, Service Delivery and Maintenance Management</v>
      </c>
      <c r="B25" s="864"/>
      <c r="C25" s="1635">
        <f>O25*0.1</f>
        <v>253355689.84976685</v>
      </c>
      <c r="D25" s="1614">
        <f>O25*0.09</f>
        <v>228020120.86479014</v>
      </c>
      <c r="E25" s="1614">
        <f>O25*0.11</f>
        <v>278691258.8347435</v>
      </c>
      <c r="F25" s="1614">
        <f>O25*0.12</f>
        <v>304026827.81972021</v>
      </c>
      <c r="G25" s="1614">
        <f>O25*0.15</f>
        <v>380033534.77465022</v>
      </c>
      <c r="H25" s="1614">
        <f>O25*0.1</f>
        <v>253355689.84976685</v>
      </c>
      <c r="I25" s="1614">
        <f>O25*0.1</f>
        <v>253355689.84976685</v>
      </c>
      <c r="J25" s="1614">
        <f>O25*0.03</f>
        <v>76006706.954930052</v>
      </c>
      <c r="K25" s="1614">
        <f>O25*0.06</f>
        <v>152013413.9098601</v>
      </c>
      <c r="L25" s="1614">
        <f>O25*0.08</f>
        <v>202684551.87981346</v>
      </c>
      <c r="M25" s="1614">
        <f>140617000/2</f>
        <v>70308500</v>
      </c>
      <c r="N25" s="808">
        <f t="shared" si="4"/>
        <v>81704913.909860134</v>
      </c>
      <c r="O25" s="206">
        <f>'A3-FinPerf V'!I25</f>
        <v>2533556898.4976683</v>
      </c>
      <c r="P25" s="203">
        <f>'A3-FinPerf V'!J25</f>
        <v>2776361220.6007533</v>
      </c>
      <c r="Q25" s="204">
        <f>'A3-FinPerf V'!K25</f>
        <v>2781093194.9377751</v>
      </c>
      <c r="R25" s="370"/>
    </row>
    <row r="26" spans="1:18" ht="11.25" customHeight="1" x14ac:dyDescent="0.25">
      <c r="A26" s="250" t="str">
        <f t="shared" si="3"/>
        <v>Vote 4 - Sustainable Community Service Delivery Provision Management</v>
      </c>
      <c r="B26" s="864"/>
      <c r="C26" s="1635">
        <f>O26*0.1</f>
        <v>41030616.73071184</v>
      </c>
      <c r="D26" s="1614">
        <f>O26*0.09</f>
        <v>36927555.057640649</v>
      </c>
      <c r="E26" s="1614">
        <f>O26*0.11</f>
        <v>45133678.403783016</v>
      </c>
      <c r="F26" s="1614">
        <f>O26*0.12</f>
        <v>49236740.076854199</v>
      </c>
      <c r="G26" s="1614">
        <f>O26*0.15</f>
        <v>61545925.096067749</v>
      </c>
      <c r="H26" s="1614">
        <f>O26*0.1</f>
        <v>41030616.73071184</v>
      </c>
      <c r="I26" s="1614">
        <f>O26*0.1</f>
        <v>41030616.73071184</v>
      </c>
      <c r="J26" s="1614">
        <f>O26*0.03</f>
        <v>12309185.01921355</v>
      </c>
      <c r="K26" s="1614">
        <f>O26*0.06</f>
        <v>24618370.0384271</v>
      </c>
      <c r="L26" s="1614">
        <f>O26*0.08</f>
        <v>32824493.38456947</v>
      </c>
      <c r="M26" s="1614">
        <f>26781000/2</f>
        <v>13390500</v>
      </c>
      <c r="N26" s="808">
        <f t="shared" si="4"/>
        <v>11227870.038427114</v>
      </c>
      <c r="O26" s="206">
        <f>'A3-FinPerf V'!I26</f>
        <v>410306167.30711836</v>
      </c>
      <c r="P26" s="203">
        <f>'A3-FinPerf V'!J26</f>
        <v>449136989.49651557</v>
      </c>
      <c r="Q26" s="204">
        <f>'A3-FinPerf V'!K26</f>
        <v>610336980.69304967</v>
      </c>
      <c r="R26" s="370"/>
    </row>
    <row r="27" spans="1:18" ht="11.25" customHeight="1" x14ac:dyDescent="0.25">
      <c r="A27" s="250" t="str">
        <f t="shared" si="3"/>
        <v>Vote 5 - [NAME OF VOTE 5]</v>
      </c>
      <c r="B27" s="864"/>
      <c r="C27" s="1635"/>
      <c r="D27" s="1614"/>
      <c r="E27" s="1614"/>
      <c r="F27" s="1614"/>
      <c r="G27" s="1614"/>
      <c r="H27" s="1614"/>
      <c r="I27" s="1614"/>
      <c r="J27" s="1614"/>
      <c r="K27" s="1614"/>
      <c r="L27" s="1614"/>
      <c r="M27" s="1614"/>
      <c r="N27" s="808">
        <f t="shared" si="4"/>
        <v>0</v>
      </c>
      <c r="O27" s="206">
        <f>'A3-FinPerf V'!I27</f>
        <v>0</v>
      </c>
      <c r="P27" s="203">
        <f>'A3-FinPerf V'!J27</f>
        <v>0</v>
      </c>
      <c r="Q27" s="204">
        <f>'A3-FinPerf V'!K27</f>
        <v>0</v>
      </c>
      <c r="R27" s="370"/>
    </row>
    <row r="28" spans="1:18" ht="11.25" customHeight="1" x14ac:dyDescent="0.25">
      <c r="A28" s="250" t="str">
        <f t="shared" si="3"/>
        <v>Vote 6 - [NAME OF VOTE 6]</v>
      </c>
      <c r="B28" s="864"/>
      <c r="C28" s="1635"/>
      <c r="D28" s="1614"/>
      <c r="E28" s="1614"/>
      <c r="F28" s="1614"/>
      <c r="G28" s="1614"/>
      <c r="H28" s="1614"/>
      <c r="I28" s="1614"/>
      <c r="J28" s="1614"/>
      <c r="K28" s="1614"/>
      <c r="L28" s="1614"/>
      <c r="M28" s="1614"/>
      <c r="N28" s="808">
        <f t="shared" si="4"/>
        <v>0</v>
      </c>
      <c r="O28" s="206">
        <f>'A3-FinPerf V'!I28</f>
        <v>0</v>
      </c>
      <c r="P28" s="203">
        <f>'A3-FinPerf V'!J28</f>
        <v>0</v>
      </c>
      <c r="Q28" s="204">
        <f>'A3-FinPerf V'!K28</f>
        <v>0</v>
      </c>
      <c r="R28" s="370"/>
    </row>
    <row r="29" spans="1:18" ht="11.25" customHeight="1" x14ac:dyDescent="0.25">
      <c r="A29" s="250" t="str">
        <f t="shared" si="3"/>
        <v>Vote 7 - [NAME OF VOTE 7]</v>
      </c>
      <c r="B29" s="864"/>
      <c r="C29" s="1635"/>
      <c r="D29" s="1614"/>
      <c r="E29" s="1614"/>
      <c r="F29" s="1614"/>
      <c r="G29" s="1614"/>
      <c r="H29" s="1614"/>
      <c r="I29" s="1614"/>
      <c r="J29" s="1614"/>
      <c r="K29" s="1614"/>
      <c r="L29" s="1614"/>
      <c r="M29" s="1614"/>
      <c r="N29" s="808">
        <f t="shared" si="4"/>
        <v>0</v>
      </c>
      <c r="O29" s="206">
        <f>'A3-FinPerf V'!I29</f>
        <v>0</v>
      </c>
      <c r="P29" s="203">
        <f>'A3-FinPerf V'!J29</f>
        <v>0</v>
      </c>
      <c r="Q29" s="204">
        <f>'A3-FinPerf V'!K29</f>
        <v>0</v>
      </c>
      <c r="R29" s="370"/>
    </row>
    <row r="30" spans="1:18" ht="11.25" customHeight="1" x14ac:dyDescent="0.25">
      <c r="A30" s="250" t="str">
        <f t="shared" si="3"/>
        <v>Vote 8 - [NAME OF VOTE 8]</v>
      </c>
      <c r="B30" s="864"/>
      <c r="C30" s="1635"/>
      <c r="D30" s="1614"/>
      <c r="E30" s="1614"/>
      <c r="F30" s="1614"/>
      <c r="G30" s="1614"/>
      <c r="H30" s="1614"/>
      <c r="I30" s="1614"/>
      <c r="J30" s="1614"/>
      <c r="K30" s="1614"/>
      <c r="L30" s="1614"/>
      <c r="M30" s="1614"/>
      <c r="N30" s="808">
        <f>O30-SUM(C30:M30)</f>
        <v>0</v>
      </c>
      <c r="O30" s="206">
        <f>'A3-FinPerf V'!I30</f>
        <v>0</v>
      </c>
      <c r="P30" s="203">
        <f>'A3-FinPerf V'!J30</f>
        <v>0</v>
      </c>
      <c r="Q30" s="204">
        <f>'A3-FinPerf V'!K30</f>
        <v>0</v>
      </c>
      <c r="R30" s="370"/>
    </row>
    <row r="31" spans="1:18" ht="11.25" customHeight="1" x14ac:dyDescent="0.25">
      <c r="A31" s="250" t="str">
        <f t="shared" si="3"/>
        <v>Vote 9 - [NAME OF VOTE 9]</v>
      </c>
      <c r="B31" s="864"/>
      <c r="C31" s="1635"/>
      <c r="D31" s="1614"/>
      <c r="E31" s="1614"/>
      <c r="F31" s="1614"/>
      <c r="G31" s="1614"/>
      <c r="H31" s="1614"/>
      <c r="I31" s="1614"/>
      <c r="J31" s="1614"/>
      <c r="K31" s="1614"/>
      <c r="L31" s="1614"/>
      <c r="M31" s="1614"/>
      <c r="N31" s="808">
        <f>O31-SUM(C31:M31)</f>
        <v>0</v>
      </c>
      <c r="O31" s="206">
        <f>'A3-FinPerf V'!I31</f>
        <v>0</v>
      </c>
      <c r="P31" s="203">
        <f>'A3-FinPerf V'!J31</f>
        <v>0</v>
      </c>
      <c r="Q31" s="204">
        <f>'A3-FinPerf V'!K31</f>
        <v>0</v>
      </c>
      <c r="R31" s="370"/>
    </row>
    <row r="32" spans="1:18" ht="11.25" customHeight="1" x14ac:dyDescent="0.25">
      <c r="A32" s="250" t="str">
        <f t="shared" ref="A32:A37" si="5">A14</f>
        <v>Vote 10 - [NAME OF VOTE 10]</v>
      </c>
      <c r="B32" s="864"/>
      <c r="C32" s="1635"/>
      <c r="D32" s="1614"/>
      <c r="E32" s="1614"/>
      <c r="F32" s="1614"/>
      <c r="G32" s="1614"/>
      <c r="H32" s="1614"/>
      <c r="I32" s="1614"/>
      <c r="J32" s="1614"/>
      <c r="K32" s="1614"/>
      <c r="L32" s="1614"/>
      <c r="M32" s="1614"/>
      <c r="N32" s="808">
        <f t="shared" ref="N32:N37" si="6">O32-SUM(C32:M32)</f>
        <v>0</v>
      </c>
      <c r="O32" s="206">
        <f>'A3-FinPerf V'!I32</f>
        <v>0</v>
      </c>
      <c r="P32" s="203">
        <f>'A3-FinPerf V'!J32</f>
        <v>0</v>
      </c>
      <c r="Q32" s="204">
        <f>'A3-FinPerf V'!K32</f>
        <v>0</v>
      </c>
      <c r="R32" s="370"/>
    </row>
    <row r="33" spans="1:18" ht="11.25" customHeight="1" x14ac:dyDescent="0.25">
      <c r="A33" s="250" t="str">
        <f t="shared" si="5"/>
        <v>Vote 11 - [NAME OF VOTE 11]</v>
      </c>
      <c r="B33" s="864"/>
      <c r="C33" s="1635"/>
      <c r="D33" s="1614"/>
      <c r="E33" s="1614"/>
      <c r="F33" s="1614"/>
      <c r="G33" s="1614"/>
      <c r="H33" s="1614"/>
      <c r="I33" s="1614"/>
      <c r="J33" s="1614"/>
      <c r="K33" s="1614"/>
      <c r="L33" s="1614"/>
      <c r="M33" s="1614"/>
      <c r="N33" s="808">
        <f t="shared" si="6"/>
        <v>0</v>
      </c>
      <c r="O33" s="206">
        <f>'A3-FinPerf V'!I33</f>
        <v>0</v>
      </c>
      <c r="P33" s="203">
        <f>'A3-FinPerf V'!J33</f>
        <v>0</v>
      </c>
      <c r="Q33" s="204">
        <f>'A3-FinPerf V'!K33</f>
        <v>0</v>
      </c>
      <c r="R33" s="370"/>
    </row>
    <row r="34" spans="1:18" ht="11.25" customHeight="1" x14ac:dyDescent="0.25">
      <c r="A34" s="250" t="str">
        <f t="shared" si="5"/>
        <v>Vote 12 - [NAME OF VOTE 12]</v>
      </c>
      <c r="B34" s="864"/>
      <c r="C34" s="1635"/>
      <c r="D34" s="1614"/>
      <c r="E34" s="1614"/>
      <c r="F34" s="1614"/>
      <c r="G34" s="1614"/>
      <c r="H34" s="1614"/>
      <c r="I34" s="1614"/>
      <c r="J34" s="1614"/>
      <c r="K34" s="1614"/>
      <c r="L34" s="1614"/>
      <c r="M34" s="1614"/>
      <c r="N34" s="808">
        <f t="shared" si="6"/>
        <v>0</v>
      </c>
      <c r="O34" s="206">
        <f>'A3-FinPerf V'!I34</f>
        <v>0</v>
      </c>
      <c r="P34" s="203">
        <f>'A3-FinPerf V'!J34</f>
        <v>0</v>
      </c>
      <c r="Q34" s="204">
        <f>'A3-FinPerf V'!K34</f>
        <v>0</v>
      </c>
      <c r="R34" s="370"/>
    </row>
    <row r="35" spans="1:18" ht="11.25" customHeight="1" x14ac:dyDescent="0.25">
      <c r="A35" s="250" t="str">
        <f t="shared" si="5"/>
        <v>Vote 13 - [NAME OF VOTE 13]</v>
      </c>
      <c r="B35" s="864"/>
      <c r="C35" s="1635"/>
      <c r="D35" s="1614"/>
      <c r="E35" s="1614"/>
      <c r="F35" s="1614"/>
      <c r="G35" s="1614"/>
      <c r="H35" s="1614"/>
      <c r="I35" s="1614"/>
      <c r="J35" s="1614"/>
      <c r="K35" s="1614"/>
      <c r="L35" s="1614"/>
      <c r="M35" s="1614"/>
      <c r="N35" s="808">
        <f t="shared" si="6"/>
        <v>0</v>
      </c>
      <c r="O35" s="206">
        <f>'A3-FinPerf V'!I35</f>
        <v>0</v>
      </c>
      <c r="P35" s="203">
        <f>'A3-FinPerf V'!J35</f>
        <v>0</v>
      </c>
      <c r="Q35" s="204">
        <f>'A3-FinPerf V'!K35</f>
        <v>0</v>
      </c>
      <c r="R35" s="370"/>
    </row>
    <row r="36" spans="1:18" ht="11.25" customHeight="1" x14ac:dyDescent="0.25">
      <c r="A36" s="250" t="str">
        <f t="shared" si="5"/>
        <v>Vote 14 - [NAME OF VOTE 14]</v>
      </c>
      <c r="B36" s="864"/>
      <c r="C36" s="1635"/>
      <c r="D36" s="1614"/>
      <c r="E36" s="1614"/>
      <c r="F36" s="1614"/>
      <c r="G36" s="1614"/>
      <c r="H36" s="1614"/>
      <c r="I36" s="1614"/>
      <c r="J36" s="1614"/>
      <c r="K36" s="1614"/>
      <c r="L36" s="1614"/>
      <c r="M36" s="1614"/>
      <c r="N36" s="808">
        <f t="shared" si="6"/>
        <v>0</v>
      </c>
      <c r="O36" s="206">
        <f>'A3-FinPerf V'!I36</f>
        <v>0</v>
      </c>
      <c r="P36" s="203">
        <f>'A3-FinPerf V'!J36</f>
        <v>0</v>
      </c>
      <c r="Q36" s="204">
        <f>'A3-FinPerf V'!K36</f>
        <v>0</v>
      </c>
      <c r="R36" s="370"/>
    </row>
    <row r="37" spans="1:18" ht="11.25" customHeight="1" x14ac:dyDescent="0.25">
      <c r="A37" s="250" t="str">
        <f t="shared" si="5"/>
        <v>Vote 15 - [NAME OF VOTE 15]</v>
      </c>
      <c r="B37" s="864"/>
      <c r="C37" s="1635"/>
      <c r="D37" s="1614"/>
      <c r="E37" s="1614"/>
      <c r="F37" s="1614"/>
      <c r="G37" s="1614"/>
      <c r="H37" s="1614"/>
      <c r="I37" s="1614"/>
      <c r="J37" s="1614"/>
      <c r="K37" s="1614"/>
      <c r="L37" s="1614"/>
      <c r="M37" s="1614"/>
      <c r="N37" s="808">
        <f t="shared" si="6"/>
        <v>0</v>
      </c>
      <c r="O37" s="206">
        <f>'A3-FinPerf V'!I37</f>
        <v>0</v>
      </c>
      <c r="P37" s="203">
        <f>'A3-FinPerf V'!J37</f>
        <v>0</v>
      </c>
      <c r="Q37" s="204">
        <f>'A3-FinPerf V'!K37</f>
        <v>0</v>
      </c>
      <c r="R37" s="370"/>
    </row>
    <row r="38" spans="1:18" x14ac:dyDescent="0.25">
      <c r="A38" s="265" t="str">
        <f>'A3-FinPerf V'!A38</f>
        <v>Total Expenditure by Vote</v>
      </c>
      <c r="B38" s="865"/>
      <c r="C38" s="215">
        <f>SUM(C23:C37)</f>
        <v>347382769.40636903</v>
      </c>
      <c r="D38" s="213">
        <f t="shared" ref="D38:N38" si="7">SUM(D23:D37)</f>
        <v>312644492.46573216</v>
      </c>
      <c r="E38" s="213">
        <f t="shared" si="7"/>
        <v>382121046.34700596</v>
      </c>
      <c r="F38" s="213">
        <f t="shared" si="7"/>
        <v>416859323.28764284</v>
      </c>
      <c r="G38" s="213">
        <f t="shared" si="7"/>
        <v>521074154.10955352</v>
      </c>
      <c r="H38" s="213">
        <f t="shared" si="7"/>
        <v>347382769.40636903</v>
      </c>
      <c r="I38" s="213">
        <f t="shared" si="7"/>
        <v>347382769.40636903</v>
      </c>
      <c r="J38" s="213">
        <f t="shared" si="7"/>
        <v>104214830.82191071</v>
      </c>
      <c r="K38" s="213">
        <f t="shared" si="7"/>
        <v>208429661.64382142</v>
      </c>
      <c r="L38" s="213">
        <f t="shared" si="7"/>
        <v>277906215.52509522</v>
      </c>
      <c r="M38" s="213">
        <f t="shared" si="7"/>
        <v>97695500</v>
      </c>
      <c r="N38" s="866">
        <f t="shared" si="7"/>
        <v>110734161.64382145</v>
      </c>
      <c r="O38" s="216">
        <f>SUM(O23:O37)</f>
        <v>3473827694.0636907</v>
      </c>
      <c r="P38" s="213">
        <f>SUM(P23:P37)</f>
        <v>3657992447.4549508</v>
      </c>
      <c r="Q38" s="214">
        <f>SUM(Q23:Q37)</f>
        <v>4003496848.0402536</v>
      </c>
      <c r="R38" s="370"/>
    </row>
    <row r="39" spans="1:18" ht="5.15" customHeight="1" x14ac:dyDescent="0.25">
      <c r="A39" s="273"/>
      <c r="B39" s="864"/>
      <c r="C39" s="205"/>
      <c r="D39" s="203"/>
      <c r="E39" s="203"/>
      <c r="F39" s="203"/>
      <c r="G39" s="203"/>
      <c r="H39" s="203"/>
      <c r="I39" s="203"/>
      <c r="J39" s="203"/>
      <c r="K39" s="203"/>
      <c r="L39" s="203"/>
      <c r="M39" s="203"/>
      <c r="N39" s="808"/>
      <c r="O39" s="206"/>
      <c r="P39" s="203"/>
      <c r="Q39" s="204"/>
      <c r="R39" s="370"/>
    </row>
    <row r="40" spans="1:18" x14ac:dyDescent="0.25">
      <c r="A40" s="868" t="str">
        <f>'A4-FinPerf RE'!A38&amp;" before assoc."</f>
        <v>Surplus/(Deficit) before assoc.</v>
      </c>
      <c r="B40" s="869"/>
      <c r="C40" s="215">
        <f t="shared" ref="C40:Q40" si="8">C20-C38</f>
        <v>6658581.9491740465</v>
      </c>
      <c r="D40" s="213">
        <f t="shared" si="8"/>
        <v>5992723.7542566061</v>
      </c>
      <c r="E40" s="213">
        <f t="shared" si="8"/>
        <v>7324440.1440914273</v>
      </c>
      <c r="F40" s="213">
        <f t="shared" si="8"/>
        <v>7990298.3390088081</v>
      </c>
      <c r="G40" s="213">
        <f t="shared" si="8"/>
        <v>9987872.9237610102</v>
      </c>
      <c r="H40" s="213">
        <f t="shared" si="8"/>
        <v>6658581.9491740465</v>
      </c>
      <c r="I40" s="213">
        <f t="shared" si="8"/>
        <v>6658581.9491740465</v>
      </c>
      <c r="J40" s="213">
        <f t="shared" si="8"/>
        <v>1997574.584752202</v>
      </c>
      <c r="K40" s="213">
        <f t="shared" si="8"/>
        <v>3995149.1695044041</v>
      </c>
      <c r="L40" s="213">
        <f t="shared" si="8"/>
        <v>5326865.5593392253</v>
      </c>
      <c r="M40" s="213">
        <f t="shared" si="8"/>
        <v>1528500</v>
      </c>
      <c r="N40" s="866">
        <f t="shared" si="8"/>
        <v>2466649.1695040762</v>
      </c>
      <c r="O40" s="216">
        <f t="shared" si="8"/>
        <v>66585819.491739273</v>
      </c>
      <c r="P40" s="213">
        <f t="shared" si="8"/>
        <v>64556903.757032871</v>
      </c>
      <c r="Q40" s="214">
        <f t="shared" si="8"/>
        <v>50000766.643229008</v>
      </c>
    </row>
    <row r="41" spans="1:18" ht="5.15" customHeight="1" x14ac:dyDescent="0.25">
      <c r="A41" s="273"/>
      <c r="B41" s="864"/>
      <c r="C41" s="205"/>
      <c r="D41" s="203"/>
      <c r="E41" s="203"/>
      <c r="F41" s="203"/>
      <c r="G41" s="203"/>
      <c r="H41" s="203"/>
      <c r="I41" s="203"/>
      <c r="J41" s="203"/>
      <c r="K41" s="203"/>
      <c r="L41" s="203"/>
      <c r="M41" s="203"/>
      <c r="N41" s="808"/>
      <c r="O41" s="206"/>
      <c r="P41" s="203"/>
      <c r="Q41" s="204"/>
    </row>
    <row r="42" spans="1:18" ht="11.25" customHeight="1" x14ac:dyDescent="0.25">
      <c r="A42" s="250" t="str">
        <f>'SA25'!A43</f>
        <v>Taxation</v>
      </c>
      <c r="B42" s="864"/>
      <c r="C42" s="1635"/>
      <c r="D42" s="1614"/>
      <c r="E42" s="1614"/>
      <c r="F42" s="1614"/>
      <c r="G42" s="1614"/>
      <c r="H42" s="1614"/>
      <c r="I42" s="1614"/>
      <c r="J42" s="1614"/>
      <c r="K42" s="1614"/>
      <c r="L42" s="1614"/>
      <c r="M42" s="1614"/>
      <c r="N42" s="808">
        <f>O42-SUM(C42:M42)</f>
        <v>0</v>
      </c>
      <c r="O42" s="206">
        <f>'SA25'!O43</f>
        <v>0</v>
      </c>
      <c r="P42" s="203">
        <f>'SA25'!P43</f>
        <v>0</v>
      </c>
      <c r="Q42" s="204">
        <f>'SA25'!Q43</f>
        <v>0</v>
      </c>
    </row>
    <row r="43" spans="1:18" ht="11.25" customHeight="1" x14ac:dyDescent="0.25">
      <c r="A43" s="250" t="str">
        <f>'SA25'!A44</f>
        <v>Attributable to minorities</v>
      </c>
      <c r="B43" s="864"/>
      <c r="C43" s="1635"/>
      <c r="D43" s="1614"/>
      <c r="E43" s="1614"/>
      <c r="F43" s="1614"/>
      <c r="G43" s="1614"/>
      <c r="H43" s="1614"/>
      <c r="I43" s="1614"/>
      <c r="J43" s="1614"/>
      <c r="K43" s="1614"/>
      <c r="L43" s="1614"/>
      <c r="M43" s="1614"/>
      <c r="N43" s="808">
        <f>O43-SUM(C43:M43)</f>
        <v>0</v>
      </c>
      <c r="O43" s="206">
        <f>'SA25'!O44</f>
        <v>0</v>
      </c>
      <c r="P43" s="203">
        <f>'SA25'!P44</f>
        <v>0</v>
      </c>
      <c r="Q43" s="204">
        <f>'SA25'!Q44</f>
        <v>0</v>
      </c>
    </row>
    <row r="44" spans="1:18" x14ac:dyDescent="0.25">
      <c r="A44" s="524" t="str">
        <f>'A4-FinPerf RE'!A47</f>
        <v>Share of surplus/ (deficit) of associate</v>
      </c>
      <c r="B44" s="876"/>
      <c r="C44" s="1635"/>
      <c r="D44" s="1614"/>
      <c r="E44" s="1614"/>
      <c r="F44" s="1614"/>
      <c r="G44" s="1614"/>
      <c r="H44" s="1614"/>
      <c r="I44" s="1614"/>
      <c r="J44" s="1614"/>
      <c r="K44" s="1614"/>
      <c r="L44" s="1614"/>
      <c r="M44" s="1614"/>
      <c r="N44" s="808">
        <f>O44-SUM(C44:M44)</f>
        <v>0</v>
      </c>
      <c r="O44" s="206">
        <f>'A4-FinPerf RE'!J47</f>
        <v>0</v>
      </c>
      <c r="P44" s="203">
        <f>'A4-FinPerf RE'!K47</f>
        <v>0</v>
      </c>
      <c r="Q44" s="204">
        <f>'A4-FinPerf RE'!L47</f>
        <v>0</v>
      </c>
    </row>
    <row r="45" spans="1:18" x14ac:dyDescent="0.25">
      <c r="A45" s="849" t="str">
        <f>'A4-FinPerf RE'!A38</f>
        <v>Surplus/(Deficit)</v>
      </c>
      <c r="B45" s="877">
        <v>1</v>
      </c>
      <c r="C45" s="353">
        <f>C40+C44</f>
        <v>6658581.9491740465</v>
      </c>
      <c r="D45" s="227">
        <f t="shared" ref="D45:Q45" si="9">D40+D44</f>
        <v>5992723.7542566061</v>
      </c>
      <c r="E45" s="227">
        <f t="shared" si="9"/>
        <v>7324440.1440914273</v>
      </c>
      <c r="F45" s="227">
        <f t="shared" si="9"/>
        <v>7990298.3390088081</v>
      </c>
      <c r="G45" s="227">
        <f t="shared" si="9"/>
        <v>9987872.9237610102</v>
      </c>
      <c r="H45" s="227">
        <f t="shared" si="9"/>
        <v>6658581.9491740465</v>
      </c>
      <c r="I45" s="227">
        <f t="shared" si="9"/>
        <v>6658581.9491740465</v>
      </c>
      <c r="J45" s="227">
        <f t="shared" si="9"/>
        <v>1997574.584752202</v>
      </c>
      <c r="K45" s="227">
        <f t="shared" si="9"/>
        <v>3995149.1695044041</v>
      </c>
      <c r="L45" s="227">
        <f t="shared" si="9"/>
        <v>5326865.5593392253</v>
      </c>
      <c r="M45" s="227">
        <f t="shared" si="9"/>
        <v>1528500</v>
      </c>
      <c r="N45" s="819">
        <f t="shared" si="9"/>
        <v>2466649.1695040762</v>
      </c>
      <c r="O45" s="354">
        <f t="shared" si="9"/>
        <v>66585819.491739273</v>
      </c>
      <c r="P45" s="227">
        <f t="shared" si="9"/>
        <v>64556903.757032871</v>
      </c>
      <c r="Q45" s="352">
        <f t="shared" si="9"/>
        <v>50000766.643229008</v>
      </c>
    </row>
    <row r="46" spans="1:18" s="709" customFormat="1" x14ac:dyDescent="0.25">
      <c r="A46" s="1420" t="str">
        <f>head27a</f>
        <v>References</v>
      </c>
      <c r="B46" s="1084"/>
      <c r="C46" s="1040"/>
      <c r="D46" s="1040"/>
      <c r="E46" s="1040"/>
      <c r="F46" s="1040"/>
      <c r="G46" s="1040"/>
      <c r="H46" s="1040"/>
      <c r="I46" s="1040"/>
      <c r="J46" s="1040"/>
      <c r="K46" s="1040"/>
      <c r="L46" s="1040"/>
      <c r="M46" s="1040"/>
      <c r="N46" s="1040"/>
      <c r="O46" s="1040"/>
      <c r="P46" s="1040"/>
      <c r="Q46" s="1040"/>
    </row>
    <row r="47" spans="1:18" s="709" customFormat="1" x14ac:dyDescent="0.25">
      <c r="A47" s="1418" t="s">
        <v>1599</v>
      </c>
    </row>
    <row r="48" spans="1:18" x14ac:dyDescent="0.25">
      <c r="A48" s="437" t="s">
        <v>1512</v>
      </c>
      <c r="B48" s="437"/>
      <c r="O48" s="879">
        <f>O45-'A4-FinPerf RE'!J48</f>
        <v>0.49173927307128906</v>
      </c>
      <c r="P48" s="879">
        <f>P45-'A4-FinPerf RE'!K48</f>
        <v>-0.24296712875366211</v>
      </c>
      <c r="Q48" s="879">
        <f>Q45-'A4-FinPerf RE'!L48</f>
        <v>3.7119865417480469E-2</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enableFormatConditionsCalculation="0">
    <tabColor indexed="42"/>
    <pageSetUpPr fitToPage="1"/>
  </sheetPr>
  <dimension ref="A1:R56"/>
  <sheetViews>
    <sheetView showGridLines="0" zoomScaleNormal="100" workbookViewId="0">
      <pane xSplit="2" ySplit="3" topLeftCell="G46" activePane="bottomRight" state="frozen"/>
      <selection pane="topRight"/>
      <selection pane="bottomLeft"/>
      <selection pane="bottomRight" activeCell="P56" sqref="P56"/>
    </sheetView>
  </sheetViews>
  <sheetFormatPr defaultColWidth="9.1796875" defaultRowHeight="10.5" x14ac:dyDescent="0.25"/>
  <cols>
    <col min="1" max="1" width="30.7265625" style="149" customWidth="1"/>
    <col min="2" max="2" width="3" style="247" customWidth="1"/>
    <col min="3" max="14" width="8.26953125" style="149" customWidth="1"/>
    <col min="15" max="17" width="9.26953125" style="149" customWidth="1"/>
    <col min="18" max="16384" width="9.1796875" style="149"/>
  </cols>
  <sheetData>
    <row r="1" spans="1:18" ht="13.5" customHeight="1" x14ac:dyDescent="0.3">
      <c r="A1" s="147" t="str">
        <f>muni&amp;" - "&amp;TableA27</f>
        <v>KZN225 Msunduzi - Supporting Table SA27 Consolidated budgeted monthly revenue and expenditure (standard classification)</v>
      </c>
      <c r="B1" s="147"/>
      <c r="C1" s="147"/>
      <c r="D1" s="147"/>
      <c r="E1" s="147"/>
      <c r="F1" s="147"/>
      <c r="G1" s="147"/>
      <c r="H1" s="147"/>
      <c r="I1" s="147"/>
      <c r="J1" s="147"/>
      <c r="K1" s="147"/>
      <c r="L1" s="147"/>
      <c r="M1" s="147"/>
      <c r="N1" s="147"/>
      <c r="O1" s="147"/>
      <c r="P1" s="147"/>
      <c r="Q1" s="147"/>
    </row>
    <row r="2" spans="1:18" ht="28.5" customHeight="1" x14ac:dyDescent="0.25">
      <c r="A2" s="985" t="str">
        <f>desc</f>
        <v>Description</v>
      </c>
      <c r="B2" s="997" t="str">
        <f>head27</f>
        <v>Ref</v>
      </c>
      <c r="C2" s="2677" t="str">
        <f>Head9</f>
        <v>Budget Year 2013/14</v>
      </c>
      <c r="D2" s="2678"/>
      <c r="E2" s="2678"/>
      <c r="F2" s="2678"/>
      <c r="G2" s="2678"/>
      <c r="H2" s="2678"/>
      <c r="I2" s="2678"/>
      <c r="J2" s="2678"/>
      <c r="K2" s="2678"/>
      <c r="L2" s="2678"/>
      <c r="M2" s="2678"/>
      <c r="N2" s="2678"/>
      <c r="O2" s="2674" t="s">
        <v>1790</v>
      </c>
      <c r="P2" s="2675"/>
      <c r="Q2" s="2676"/>
    </row>
    <row r="3" spans="1:18" ht="21" x14ac:dyDescent="0.25">
      <c r="A3" s="992" t="s">
        <v>665</v>
      </c>
      <c r="B3" s="998"/>
      <c r="C3" s="299" t="s">
        <v>723</v>
      </c>
      <c r="D3" s="928" t="s">
        <v>1400</v>
      </c>
      <c r="E3" s="928" t="s">
        <v>1401</v>
      </c>
      <c r="F3" s="928" t="s">
        <v>1402</v>
      </c>
      <c r="G3" s="928" t="s">
        <v>704</v>
      </c>
      <c r="H3" s="928" t="s">
        <v>705</v>
      </c>
      <c r="I3" s="928" t="s">
        <v>706</v>
      </c>
      <c r="J3" s="928" t="s">
        <v>707</v>
      </c>
      <c r="K3" s="928" t="s">
        <v>708</v>
      </c>
      <c r="L3" s="928" t="s">
        <v>709</v>
      </c>
      <c r="M3" s="928" t="s">
        <v>710</v>
      </c>
      <c r="N3" s="391" t="s">
        <v>711</v>
      </c>
      <c r="O3" s="299" t="str">
        <f>Head9</f>
        <v>Budget Year 2013/14</v>
      </c>
      <c r="P3" s="390" t="str">
        <f>Head10</f>
        <v>Budget Year +1 2014/15</v>
      </c>
      <c r="Q3" s="391" t="str">
        <f>Head11</f>
        <v>Budget Year +2 2015/16</v>
      </c>
    </row>
    <row r="4" spans="1:18" x14ac:dyDescent="0.25">
      <c r="A4" s="249" t="str">
        <f>'A2-FinPerf SC'!A4</f>
        <v>Revenue - Standard</v>
      </c>
      <c r="B4" s="867"/>
      <c r="C4" s="317"/>
      <c r="D4" s="315"/>
      <c r="E4" s="315"/>
      <c r="F4" s="315"/>
      <c r="G4" s="315"/>
      <c r="H4" s="315"/>
      <c r="I4" s="315"/>
      <c r="J4" s="315"/>
      <c r="K4" s="315"/>
      <c r="L4" s="315"/>
      <c r="M4" s="315"/>
      <c r="N4" s="318"/>
      <c r="O4" s="317"/>
      <c r="P4" s="315"/>
      <c r="Q4" s="318"/>
      <c r="R4" s="370"/>
    </row>
    <row r="5" spans="1:18" ht="11.25" customHeight="1" x14ac:dyDescent="0.25">
      <c r="A5" s="1270" t="str">
        <f>'A2-FinPerf SC'!A5</f>
        <v>Governance and administration</v>
      </c>
      <c r="B5" s="864"/>
      <c r="C5" s="1132">
        <f>SUM(C6:C8)</f>
        <v>101250589.2</v>
      </c>
      <c r="D5" s="1130">
        <f>SUM(D6:D8)</f>
        <v>91125530.280000001</v>
      </c>
      <c r="E5" s="1130">
        <f t="shared" ref="E5:M5" si="0">SUM(E6:E8)</f>
        <v>111375648.11999999</v>
      </c>
      <c r="F5" s="1130">
        <f t="shared" si="0"/>
        <v>121500707.03999999</v>
      </c>
      <c r="G5" s="1130">
        <f t="shared" si="0"/>
        <v>151875883.80000001</v>
      </c>
      <c r="H5" s="1130">
        <f t="shared" si="0"/>
        <v>101250589.2</v>
      </c>
      <c r="I5" s="1130">
        <f t="shared" si="0"/>
        <v>101250589.2</v>
      </c>
      <c r="J5" s="1130">
        <f t="shared" si="0"/>
        <v>30375176.759999998</v>
      </c>
      <c r="K5" s="1130">
        <f t="shared" si="0"/>
        <v>60750353.519999996</v>
      </c>
      <c r="L5" s="1130">
        <f t="shared" si="0"/>
        <v>81000471.359999999</v>
      </c>
      <c r="M5" s="1130">
        <f t="shared" si="0"/>
        <v>20875500</v>
      </c>
      <c r="N5" s="219">
        <f t="shared" ref="N5:N24" si="1">O5-SUM(C5:M5)</f>
        <v>39874853.519999862</v>
      </c>
      <c r="O5" s="220">
        <f>'A2-FinPerf SC'!I5</f>
        <v>1012505892</v>
      </c>
      <c r="P5" s="218">
        <f>'A2-FinPerf SC'!J5</f>
        <v>1093298367</v>
      </c>
      <c r="Q5" s="219">
        <f>'A2-FinPerf SC'!K5</f>
        <v>1029765188.3124001</v>
      </c>
      <c r="R5" s="370"/>
    </row>
    <row r="6" spans="1:18" ht="11.25" customHeight="1" x14ac:dyDescent="0.25">
      <c r="A6" s="1271" t="str">
        <f>'A2-FinPerf SC'!A6</f>
        <v>Executive and council</v>
      </c>
      <c r="B6" s="864"/>
      <c r="C6" s="1635">
        <f>O6*0.1</f>
        <v>30240.5</v>
      </c>
      <c r="D6" s="1614">
        <f>O6*0.09</f>
        <v>27216.45</v>
      </c>
      <c r="E6" s="1614">
        <f>O6*0.11</f>
        <v>33264.550000000003</v>
      </c>
      <c r="F6" s="1614">
        <f>O6*0.12</f>
        <v>36288.6</v>
      </c>
      <c r="G6" s="1614">
        <f>O6*0.15</f>
        <v>45360.75</v>
      </c>
      <c r="H6" s="1614">
        <f>O6*0.1</f>
        <v>30240.5</v>
      </c>
      <c r="I6" s="1614">
        <f>O6*0.1</f>
        <v>30240.5</v>
      </c>
      <c r="J6" s="1614">
        <f>O6*0.03</f>
        <v>9072.15</v>
      </c>
      <c r="K6" s="1614">
        <f>O6*0.06</f>
        <v>18144.3</v>
      </c>
      <c r="L6" s="1614">
        <f>O6*0.08</f>
        <v>24192.400000000001</v>
      </c>
      <c r="M6" s="1614">
        <f>18000/2</f>
        <v>9000</v>
      </c>
      <c r="N6" s="204">
        <f t="shared" si="1"/>
        <v>9144.2999999999884</v>
      </c>
      <c r="O6" s="205">
        <f>'A2-FinPerf SC'!I6</f>
        <v>302405</v>
      </c>
      <c r="P6" s="207">
        <f>'A2-FinPerf SC'!J6</f>
        <v>317223</v>
      </c>
      <c r="Q6" s="264">
        <f>'A2-FinPerf SC'!K6</f>
        <v>0</v>
      </c>
      <c r="R6" s="370"/>
    </row>
    <row r="7" spans="1:18" ht="11.25" customHeight="1" x14ac:dyDescent="0.25">
      <c r="A7" s="1271" t="str">
        <f>'A2-FinPerf SC'!A7</f>
        <v>Budget and treasury office</v>
      </c>
      <c r="B7" s="864"/>
      <c r="C7" s="1635">
        <f>O7*0.1</f>
        <v>99554300</v>
      </c>
      <c r="D7" s="1614">
        <f>O7*0.09</f>
        <v>89598870</v>
      </c>
      <c r="E7" s="1614">
        <f>O7*0.11</f>
        <v>109509730</v>
      </c>
      <c r="F7" s="1614">
        <f>O7*0.12</f>
        <v>119465160</v>
      </c>
      <c r="G7" s="1614">
        <f>O7*0.15</f>
        <v>149331450</v>
      </c>
      <c r="H7" s="1614">
        <f>O7*0.1</f>
        <v>99554300</v>
      </c>
      <c r="I7" s="1614">
        <f>O7*0.1</f>
        <v>99554300</v>
      </c>
      <c r="J7" s="1614">
        <f>O7*0.03</f>
        <v>29866290</v>
      </c>
      <c r="K7" s="1614">
        <f>O7*0.06</f>
        <v>59732580</v>
      </c>
      <c r="L7" s="1614">
        <f t="shared" ref="L7:L17" si="2">O7*0.08</f>
        <v>79643440</v>
      </c>
      <c r="M7" s="1614">
        <f>40742000/2</f>
        <v>20371000</v>
      </c>
      <c r="N7" s="204">
        <f t="shared" si="1"/>
        <v>39361580</v>
      </c>
      <c r="O7" s="205">
        <f>'A2-FinPerf SC'!I7</f>
        <v>995543000</v>
      </c>
      <c r="P7" s="207">
        <f>'A2-FinPerf SC'!J7</f>
        <v>1074422043</v>
      </c>
      <c r="Q7" s="264">
        <f>'A2-FinPerf SC'!K7</f>
        <v>1025696228.0624001</v>
      </c>
      <c r="R7" s="370"/>
    </row>
    <row r="8" spans="1:18" ht="11.25" customHeight="1" x14ac:dyDescent="0.25">
      <c r="A8" s="1271" t="str">
        <f>'A2-FinPerf SC'!A8</f>
        <v>Corporate services</v>
      </c>
      <c r="B8" s="864"/>
      <c r="C8" s="1635">
        <f>O8*0.1</f>
        <v>1666048.7000000002</v>
      </c>
      <c r="D8" s="1614">
        <f>O8*0.09</f>
        <v>1499443.8299999998</v>
      </c>
      <c r="E8" s="1614">
        <f>O8*0.11</f>
        <v>1832653.57</v>
      </c>
      <c r="F8" s="1614">
        <f>O8*0.12</f>
        <v>1999258.44</v>
      </c>
      <c r="G8" s="1614">
        <f>O8*0.15</f>
        <v>2499073.0499999998</v>
      </c>
      <c r="H8" s="1614">
        <f>O8*0.1</f>
        <v>1666048.7000000002</v>
      </c>
      <c r="I8" s="1614">
        <f>O8*0.1</f>
        <v>1666048.7000000002</v>
      </c>
      <c r="J8" s="1614">
        <f>O8*0.03</f>
        <v>499814.61</v>
      </c>
      <c r="K8" s="1614">
        <f>O8*0.06</f>
        <v>999629.22</v>
      </c>
      <c r="L8" s="1614">
        <f t="shared" si="2"/>
        <v>1332838.96</v>
      </c>
      <c r="M8" s="1614">
        <f>991000/2</f>
        <v>495500</v>
      </c>
      <c r="N8" s="204">
        <f t="shared" si="1"/>
        <v>504129.22000000253</v>
      </c>
      <c r="O8" s="205">
        <f>'A2-FinPerf SC'!I8</f>
        <v>16660487</v>
      </c>
      <c r="P8" s="207">
        <f>'A2-FinPerf SC'!J8</f>
        <v>18559101</v>
      </c>
      <c r="Q8" s="264">
        <f>'A2-FinPerf SC'!K8</f>
        <v>4068960.25</v>
      </c>
      <c r="R8" s="370"/>
    </row>
    <row r="9" spans="1:18" ht="11.25" customHeight="1" x14ac:dyDescent="0.25">
      <c r="A9" s="1270" t="str">
        <f>'A2-FinPerf SC'!A9</f>
        <v>Community and public safety</v>
      </c>
      <c r="B9" s="864"/>
      <c r="C9" s="1132">
        <f>SUM(C10:C14)</f>
        <v>3285404.0169976004</v>
      </c>
      <c r="D9" s="1130">
        <f t="shared" ref="D9:M9" si="3">SUM(D10:D14)</f>
        <v>2956863.61529784</v>
      </c>
      <c r="E9" s="1130">
        <f t="shared" si="3"/>
        <v>3613944.41869736</v>
      </c>
      <c r="F9" s="1130">
        <f t="shared" si="3"/>
        <v>3942484.82039712</v>
      </c>
      <c r="G9" s="1130">
        <f t="shared" si="3"/>
        <v>4928106.0254964</v>
      </c>
      <c r="H9" s="1130">
        <f t="shared" si="3"/>
        <v>3285404.0169976004</v>
      </c>
      <c r="I9" s="1130">
        <f t="shared" si="3"/>
        <v>3285404.0169976004</v>
      </c>
      <c r="J9" s="1130">
        <f t="shared" si="3"/>
        <v>985621.20509927999</v>
      </c>
      <c r="K9" s="1130">
        <f t="shared" si="3"/>
        <v>1971242.41019856</v>
      </c>
      <c r="L9" s="1130">
        <f t="shared" si="3"/>
        <v>2628323.21359808</v>
      </c>
      <c r="M9" s="1130">
        <f t="shared" si="3"/>
        <v>1859000</v>
      </c>
      <c r="N9" s="219">
        <f t="shared" si="1"/>
        <v>112242.41019855067</v>
      </c>
      <c r="O9" s="220">
        <f>'A2-FinPerf SC'!I9</f>
        <v>32854040.169976</v>
      </c>
      <c r="P9" s="394">
        <f>'A2-FinPerf SC'!J9</f>
        <v>34473464.409235574</v>
      </c>
      <c r="Q9" s="345">
        <f>'A2-FinPerf SC'!K9</f>
        <v>10929202.643722335</v>
      </c>
      <c r="R9" s="370"/>
    </row>
    <row r="10" spans="1:18" ht="11.25" customHeight="1" x14ac:dyDescent="0.25">
      <c r="A10" s="1271" t="str">
        <f>'A2-FinPerf SC'!A10</f>
        <v>Community and social services</v>
      </c>
      <c r="B10" s="864"/>
      <c r="C10" s="1635">
        <f>O10*0.1</f>
        <v>163052.20000000001</v>
      </c>
      <c r="D10" s="1614">
        <f>O10*0.09</f>
        <v>146746.97999999998</v>
      </c>
      <c r="E10" s="1614">
        <f>O10*0.11</f>
        <v>179357.42</v>
      </c>
      <c r="F10" s="1614">
        <f>O10*0.12</f>
        <v>195662.63999999998</v>
      </c>
      <c r="G10" s="1614">
        <f>O10*0.15</f>
        <v>244578.3</v>
      </c>
      <c r="H10" s="1614">
        <f>O10*0.1</f>
        <v>163052.20000000001</v>
      </c>
      <c r="I10" s="1614">
        <f>O10*0.1</f>
        <v>163052.20000000001</v>
      </c>
      <c r="J10" s="1614">
        <f>O10*0.03</f>
        <v>48915.659999999996</v>
      </c>
      <c r="K10" s="1614">
        <f>O10*0.06</f>
        <v>97831.319999999992</v>
      </c>
      <c r="L10" s="1614">
        <f t="shared" si="2"/>
        <v>130441.76000000001</v>
      </c>
      <c r="M10" s="1614">
        <f>98000/2</f>
        <v>49000</v>
      </c>
      <c r="N10" s="204">
        <f t="shared" si="1"/>
        <v>48831.320000000065</v>
      </c>
      <c r="O10" s="205">
        <f>'A2-FinPerf SC'!I10</f>
        <v>1630522</v>
      </c>
      <c r="P10" s="207">
        <f>'A2-FinPerf SC'!J10</f>
        <v>1740780</v>
      </c>
      <c r="Q10" s="264">
        <f>'A2-FinPerf SC'!K10</f>
        <v>2683460.4538162588</v>
      </c>
      <c r="R10" s="370"/>
    </row>
    <row r="11" spans="1:18" ht="11.25" customHeight="1" x14ac:dyDescent="0.25">
      <c r="A11" s="1271" t="str">
        <f>'A2-FinPerf SC'!A11</f>
        <v>Sport and recreation</v>
      </c>
      <c r="B11" s="864"/>
      <c r="C11" s="1635">
        <f>O11*0.1</f>
        <v>89188.200000000012</v>
      </c>
      <c r="D11" s="1614">
        <f>O11*0.09</f>
        <v>80269.37999999999</v>
      </c>
      <c r="E11" s="1614">
        <f>O11*0.11</f>
        <v>98107.02</v>
      </c>
      <c r="F11" s="1614">
        <f>O11*0.12</f>
        <v>107025.84</v>
      </c>
      <c r="G11" s="1614">
        <f>O11*0.15</f>
        <v>133782.29999999999</v>
      </c>
      <c r="H11" s="1614">
        <f>O11*0.1</f>
        <v>89188.200000000012</v>
      </c>
      <c r="I11" s="1614">
        <f>O11*0.1</f>
        <v>89188.200000000012</v>
      </c>
      <c r="J11" s="1614">
        <f>O11*0.03</f>
        <v>26756.46</v>
      </c>
      <c r="K11" s="1614">
        <f>O11*0.06</f>
        <v>53512.92</v>
      </c>
      <c r="L11" s="1614">
        <f t="shared" si="2"/>
        <v>71350.559999999998</v>
      </c>
      <c r="M11" s="1614">
        <f>54000/2</f>
        <v>27000</v>
      </c>
      <c r="N11" s="204">
        <f t="shared" si="1"/>
        <v>26512.919999999925</v>
      </c>
      <c r="O11" s="205">
        <f>'A2-FinPerf SC'!I11</f>
        <v>891882</v>
      </c>
      <c r="P11" s="207">
        <f>'A2-FinPerf SC'!J11</f>
        <v>952864</v>
      </c>
      <c r="Q11" s="264">
        <f>'A2-FinPerf SC'!K11</f>
        <v>34593.409851975004</v>
      </c>
      <c r="R11" s="370"/>
    </row>
    <row r="12" spans="1:18" ht="11.25" customHeight="1" x14ac:dyDescent="0.25">
      <c r="A12" s="1271" t="str">
        <f>'A2-FinPerf SC'!A12</f>
        <v>Public safety</v>
      </c>
      <c r="B12" s="864"/>
      <c r="C12" s="1635">
        <f>O12*0.1</f>
        <v>2699805.2579392004</v>
      </c>
      <c r="D12" s="1614">
        <f>O12*0.09</f>
        <v>2429824.7321452801</v>
      </c>
      <c r="E12" s="1614">
        <f>O12*0.11</f>
        <v>2969785.7837331202</v>
      </c>
      <c r="F12" s="1614">
        <f>O12*0.12</f>
        <v>3239766.30952704</v>
      </c>
      <c r="G12" s="1614">
        <f>O12*0.15</f>
        <v>4049707.8869087999</v>
      </c>
      <c r="H12" s="1614">
        <f>O12*0.1</f>
        <v>2699805.2579392004</v>
      </c>
      <c r="I12" s="1614">
        <f>O12*0.1</f>
        <v>2699805.2579392004</v>
      </c>
      <c r="J12" s="1614">
        <f>O12*0.03</f>
        <v>809941.57738176</v>
      </c>
      <c r="K12" s="1614">
        <f>O12*0.06</f>
        <v>1619883.15476352</v>
      </c>
      <c r="L12" s="1614">
        <f t="shared" si="2"/>
        <v>2159844.2063513603</v>
      </c>
      <c r="M12" s="1614">
        <f>1620000/2</f>
        <v>810000</v>
      </c>
      <c r="N12" s="204">
        <f t="shared" si="1"/>
        <v>809883.15476351976</v>
      </c>
      <c r="O12" s="205">
        <f>'A2-FinPerf SC'!I12</f>
        <v>26998052.579392001</v>
      </c>
      <c r="P12" s="207">
        <f>'A2-FinPerf SC'!J12</f>
        <v>28411632.304712959</v>
      </c>
      <c r="Q12" s="264">
        <f>'A2-FinPerf SC'!K12</f>
        <v>8132804.7800541017</v>
      </c>
      <c r="R12" s="370"/>
    </row>
    <row r="13" spans="1:18" ht="11.25" customHeight="1" x14ac:dyDescent="0.25">
      <c r="A13" s="1271" t="str">
        <f>'A2-FinPerf SC'!A13</f>
        <v>Housing</v>
      </c>
      <c r="B13" s="864"/>
      <c r="C13" s="1635">
        <f>O13*0.1</f>
        <v>323270</v>
      </c>
      <c r="D13" s="1614">
        <f>O13*0.09</f>
        <v>290943</v>
      </c>
      <c r="E13" s="1614">
        <f>O13*0.11</f>
        <v>355597</v>
      </c>
      <c r="F13" s="1614">
        <f>O13*0.12</f>
        <v>387924</v>
      </c>
      <c r="G13" s="1614">
        <f>O13*0.15</f>
        <v>484905</v>
      </c>
      <c r="H13" s="1614">
        <f>O13*0.1</f>
        <v>323270</v>
      </c>
      <c r="I13" s="1614">
        <f>O13*0.1</f>
        <v>323270</v>
      </c>
      <c r="J13" s="1614">
        <f>O13*0.03</f>
        <v>96981</v>
      </c>
      <c r="K13" s="1614">
        <f>O13*0.06</f>
        <v>193962</v>
      </c>
      <c r="L13" s="1614">
        <f t="shared" si="2"/>
        <v>258616</v>
      </c>
      <c r="M13" s="1614">
        <f>1940000/2</f>
        <v>970000</v>
      </c>
      <c r="N13" s="204">
        <f t="shared" si="1"/>
        <v>-776038</v>
      </c>
      <c r="O13" s="205">
        <f>'A2-FinPerf SC'!I13</f>
        <v>3232700</v>
      </c>
      <c r="P13" s="207">
        <f>'A2-FinPerf SC'!J13</f>
        <v>3259903</v>
      </c>
      <c r="Q13" s="264">
        <f>'A2-FinPerf SC'!K13</f>
        <v>76694</v>
      </c>
      <c r="R13" s="370"/>
    </row>
    <row r="14" spans="1:18" ht="11.25" customHeight="1" x14ac:dyDescent="0.25">
      <c r="A14" s="1271" t="str">
        <f>'A2-FinPerf SC'!A14</f>
        <v>Health</v>
      </c>
      <c r="B14" s="864"/>
      <c r="C14" s="1635">
        <f>O14*0.1</f>
        <v>10088.359058400001</v>
      </c>
      <c r="D14" s="1614">
        <f>O14*0.09</f>
        <v>9079.5231525599993</v>
      </c>
      <c r="E14" s="1614">
        <f>O14*0.11</f>
        <v>11097.194964240001</v>
      </c>
      <c r="F14" s="1614">
        <f>O14*0.12</f>
        <v>12106.03087008</v>
      </c>
      <c r="G14" s="1614">
        <f>O14*0.15</f>
        <v>15132.5385876</v>
      </c>
      <c r="H14" s="1614">
        <f>O14*0.1</f>
        <v>10088.359058400001</v>
      </c>
      <c r="I14" s="1614">
        <f>O14*0.1</f>
        <v>10088.359058400001</v>
      </c>
      <c r="J14" s="1614">
        <f>O14*0.03</f>
        <v>3026.5077175199999</v>
      </c>
      <c r="K14" s="1614">
        <f>O14*0.06</f>
        <v>6053.0154350399998</v>
      </c>
      <c r="L14" s="1614">
        <f t="shared" si="2"/>
        <v>8070.687246720001</v>
      </c>
      <c r="M14" s="1614">
        <f>6000/2</f>
        <v>3000</v>
      </c>
      <c r="N14" s="204">
        <f t="shared" si="1"/>
        <v>3053.0154350399971</v>
      </c>
      <c r="O14" s="205">
        <f>'A2-FinPerf SC'!I14</f>
        <v>100883.59058400001</v>
      </c>
      <c r="P14" s="207">
        <f>'A2-FinPerf SC'!J14</f>
        <v>108285.10452261599</v>
      </c>
      <c r="Q14" s="264">
        <f>'A2-FinPerf SC'!K14</f>
        <v>1650</v>
      </c>
      <c r="R14" s="370"/>
    </row>
    <row r="15" spans="1:18" ht="11.25" customHeight="1" x14ac:dyDescent="0.25">
      <c r="A15" s="1270" t="str">
        <f>'A2-FinPerf SC'!A15</f>
        <v>Economic and environmental services</v>
      </c>
      <c r="B15" s="864"/>
      <c r="C15" s="1132">
        <f>SUM(C16:C18)</f>
        <v>534976.9183897333</v>
      </c>
      <c r="D15" s="1130">
        <f t="shared" ref="D15:M15" si="4">SUM(D16:D18)</f>
        <v>481479.22655075998</v>
      </c>
      <c r="E15" s="1130">
        <f t="shared" si="4"/>
        <v>588474.61022870662</v>
      </c>
      <c r="F15" s="1130">
        <f t="shared" si="4"/>
        <v>641972.30206767994</v>
      </c>
      <c r="G15" s="1130">
        <f t="shared" si="4"/>
        <v>802465.37758460001</v>
      </c>
      <c r="H15" s="1130">
        <f t="shared" si="4"/>
        <v>534976.9183897333</v>
      </c>
      <c r="I15" s="1130">
        <f t="shared" si="4"/>
        <v>534976.9183897333</v>
      </c>
      <c r="J15" s="1130">
        <f t="shared" si="4"/>
        <v>160493.07551691998</v>
      </c>
      <c r="K15" s="1130">
        <f t="shared" si="4"/>
        <v>320986.15103383997</v>
      </c>
      <c r="L15" s="1130">
        <f t="shared" si="4"/>
        <v>427981.53471178666</v>
      </c>
      <c r="M15" s="1130">
        <f t="shared" si="4"/>
        <v>182000</v>
      </c>
      <c r="N15" s="219">
        <f t="shared" si="1"/>
        <v>138986.15103384014</v>
      </c>
      <c r="O15" s="220">
        <f>'A2-FinPerf SC'!I15</f>
        <v>5349769.1838973332</v>
      </c>
      <c r="P15" s="394">
        <f>'A2-FinPerf SC'!J15</f>
        <v>6444902.9791217428</v>
      </c>
      <c r="Q15" s="345">
        <f>'A2-FinPerf SC'!K15</f>
        <v>15521385.282752201</v>
      </c>
      <c r="R15" s="370"/>
    </row>
    <row r="16" spans="1:18" ht="11.25" customHeight="1" x14ac:dyDescent="0.25">
      <c r="A16" s="1271" t="str">
        <f>'A2-FinPerf SC'!A16</f>
        <v>Planning and development</v>
      </c>
      <c r="B16" s="864"/>
      <c r="C16" s="1635">
        <f>O16*0.1</f>
        <v>434217.10000000003</v>
      </c>
      <c r="D16" s="1614">
        <f>O16*0.09</f>
        <v>390795.39</v>
      </c>
      <c r="E16" s="1614">
        <f>O16*0.11</f>
        <v>477638.81</v>
      </c>
      <c r="F16" s="1614">
        <f>O16*0.12</f>
        <v>521060.51999999996</v>
      </c>
      <c r="G16" s="1614">
        <f>O16*0.15</f>
        <v>651325.65</v>
      </c>
      <c r="H16" s="1614">
        <f>O16*0.1</f>
        <v>434217.10000000003</v>
      </c>
      <c r="I16" s="1614">
        <f>O16*0.1</f>
        <v>434217.10000000003</v>
      </c>
      <c r="J16" s="1614">
        <f>O16*0.03</f>
        <v>130265.12999999999</v>
      </c>
      <c r="K16" s="1614">
        <f>O16*0.06</f>
        <v>260530.25999999998</v>
      </c>
      <c r="L16" s="1614">
        <f t="shared" si="2"/>
        <v>347373.68</v>
      </c>
      <c r="M16" s="1614">
        <f>304000/2</f>
        <v>152000</v>
      </c>
      <c r="N16" s="204">
        <f t="shared" si="1"/>
        <v>108530.25999999978</v>
      </c>
      <c r="O16" s="205">
        <f>'A2-FinPerf SC'!I16</f>
        <v>4342171</v>
      </c>
      <c r="P16" s="207">
        <f>'A2-FinPerf SC'!J16</f>
        <v>5354081</v>
      </c>
      <c r="Q16" s="264">
        <f>'A2-FinPerf SC'!K16</f>
        <v>15026219.282752201</v>
      </c>
      <c r="R16" s="370"/>
    </row>
    <row r="17" spans="1:18" ht="11.25" customHeight="1" x14ac:dyDescent="0.25">
      <c r="A17" s="1271" t="str">
        <f>'A2-FinPerf SC'!A17</f>
        <v>Road transport</v>
      </c>
      <c r="B17" s="864"/>
      <c r="C17" s="1635">
        <f>O17*0.1</f>
        <v>100759.81838973331</v>
      </c>
      <c r="D17" s="1614">
        <f>O17*0.09</f>
        <v>90683.836550759966</v>
      </c>
      <c r="E17" s="1614">
        <f>O17*0.11</f>
        <v>110835.80022870663</v>
      </c>
      <c r="F17" s="1614">
        <f>O17*0.12</f>
        <v>120911.78206767996</v>
      </c>
      <c r="G17" s="1614">
        <f>O17*0.15</f>
        <v>151139.72758459995</v>
      </c>
      <c r="H17" s="1614">
        <f>O17*0.1</f>
        <v>100759.81838973331</v>
      </c>
      <c r="I17" s="1614">
        <f>O17*0.1</f>
        <v>100759.81838973331</v>
      </c>
      <c r="J17" s="1614">
        <f>O17*0.03</f>
        <v>30227.94551691999</v>
      </c>
      <c r="K17" s="1614">
        <f>O17*0.06</f>
        <v>60455.89103383998</v>
      </c>
      <c r="L17" s="1614">
        <f t="shared" si="2"/>
        <v>80607.85471178664</v>
      </c>
      <c r="M17" s="1614">
        <f>60000/2</f>
        <v>30000</v>
      </c>
      <c r="N17" s="204">
        <f t="shared" si="1"/>
        <v>30455.8910338399</v>
      </c>
      <c r="O17" s="205">
        <f>'A2-FinPerf SC'!I17</f>
        <v>1007598.183897333</v>
      </c>
      <c r="P17" s="207">
        <f>'A2-FinPerf SC'!J17</f>
        <v>1090821.9791217423</v>
      </c>
      <c r="Q17" s="264">
        <f>'A2-FinPerf SC'!K17</f>
        <v>495166</v>
      </c>
      <c r="R17" s="370"/>
    </row>
    <row r="18" spans="1:18" ht="11.25" customHeight="1" x14ac:dyDescent="0.25">
      <c r="A18" s="1271" t="str">
        <f>'A2-FinPerf SC'!A18</f>
        <v>Environmental protection</v>
      </c>
      <c r="B18" s="864"/>
      <c r="C18" s="1635"/>
      <c r="D18" s="1614"/>
      <c r="E18" s="1614"/>
      <c r="F18" s="1614"/>
      <c r="G18" s="1614"/>
      <c r="H18" s="1614"/>
      <c r="I18" s="1614"/>
      <c r="J18" s="1614"/>
      <c r="K18" s="1614"/>
      <c r="L18" s="1614"/>
      <c r="M18" s="1614"/>
      <c r="N18" s="204">
        <f t="shared" si="1"/>
        <v>0</v>
      </c>
      <c r="O18" s="205">
        <f>'A2-FinPerf SC'!I18</f>
        <v>0</v>
      </c>
      <c r="P18" s="207">
        <f>'A2-FinPerf SC'!J18</f>
        <v>0</v>
      </c>
      <c r="Q18" s="264">
        <f>'A2-FinPerf SC'!K18</f>
        <v>0</v>
      </c>
      <c r="R18" s="370"/>
    </row>
    <row r="19" spans="1:18" ht="11.25" customHeight="1" x14ac:dyDescent="0.25">
      <c r="A19" s="1270" t="str">
        <f>'A2-FinPerf SC'!A19</f>
        <v>Trading services</v>
      </c>
      <c r="B19" s="864"/>
      <c r="C19" s="1132">
        <f>SUM(C20:C23)</f>
        <v>226317333.4615882</v>
      </c>
      <c r="D19" s="1130">
        <f t="shared" ref="D19:M19" si="5">SUM(D20:D23)</f>
        <v>203685600.11542934</v>
      </c>
      <c r="E19" s="1130">
        <f t="shared" si="5"/>
        <v>248949066.80774701</v>
      </c>
      <c r="F19" s="1130">
        <f t="shared" si="5"/>
        <v>271580800.15390581</v>
      </c>
      <c r="G19" s="1130">
        <f t="shared" si="5"/>
        <v>339476000.19238222</v>
      </c>
      <c r="H19" s="1130">
        <f t="shared" si="5"/>
        <v>226317333.4615882</v>
      </c>
      <c r="I19" s="1130">
        <f t="shared" si="5"/>
        <v>226317333.4615882</v>
      </c>
      <c r="J19" s="1130">
        <f t="shared" si="5"/>
        <v>67895200.038476452</v>
      </c>
      <c r="K19" s="1130">
        <f t="shared" si="5"/>
        <v>135790400.0769529</v>
      </c>
      <c r="L19" s="1130">
        <f t="shared" si="5"/>
        <v>181053866.76927054</v>
      </c>
      <c r="M19" s="1130">
        <f t="shared" si="5"/>
        <v>75692000</v>
      </c>
      <c r="N19" s="219">
        <f>O19-SUM(C19:M19)</f>
        <v>60098400.076952934</v>
      </c>
      <c r="O19" s="220">
        <f>'A2-FinPerf SC'!I19</f>
        <v>2263173334.6158814</v>
      </c>
      <c r="P19" s="394">
        <f>'A2-FinPerf SC'!J19</f>
        <v>2507784559.1600595</v>
      </c>
      <c r="Q19" s="345">
        <f>'A2-FinPerf SC'!K19</f>
        <v>2903198698.265336</v>
      </c>
      <c r="R19" s="370"/>
    </row>
    <row r="20" spans="1:18" ht="11.25" customHeight="1" x14ac:dyDescent="0.25">
      <c r="A20" s="1271" t="str">
        <f>'A2-FinPerf SC'!A20</f>
        <v>Electricity</v>
      </c>
      <c r="B20" s="864"/>
      <c r="C20" s="1635">
        <f>O20*0.1</f>
        <v>164010470.70000002</v>
      </c>
      <c r="D20" s="1614">
        <f>O20*0.09</f>
        <v>147609423.63</v>
      </c>
      <c r="E20" s="1614">
        <f>O20*0.11</f>
        <v>180411517.77000001</v>
      </c>
      <c r="F20" s="1614">
        <f>O20*0.12</f>
        <v>196812564.84</v>
      </c>
      <c r="G20" s="1614">
        <f>O20*0.15</f>
        <v>246015706.04999998</v>
      </c>
      <c r="H20" s="1614">
        <f>O20*0.1</f>
        <v>164010470.70000002</v>
      </c>
      <c r="I20" s="1614">
        <f>O20*0.1</f>
        <v>164010470.70000002</v>
      </c>
      <c r="J20" s="1614">
        <f>O20*0.03</f>
        <v>49203141.210000001</v>
      </c>
      <c r="K20" s="1614">
        <f>O20*0.06</f>
        <v>98406282.420000002</v>
      </c>
      <c r="L20" s="1614">
        <f>O20*0.08</f>
        <v>131208376.56</v>
      </c>
      <c r="M20" s="1614">
        <f>104179000/2</f>
        <v>52089500</v>
      </c>
      <c r="N20" s="204">
        <f t="shared" si="1"/>
        <v>46316782.419999838</v>
      </c>
      <c r="O20" s="205">
        <f>'A2-FinPerf SC'!I20</f>
        <v>1640104707</v>
      </c>
      <c r="P20" s="207">
        <f>'A2-FinPerf SC'!J20</f>
        <v>1880590000</v>
      </c>
      <c r="Q20" s="264">
        <f>'A2-FinPerf SC'!K20</f>
        <v>2241937933</v>
      </c>
      <c r="R20" s="370"/>
    </row>
    <row r="21" spans="1:18" ht="11.25" customHeight="1" x14ac:dyDescent="0.25">
      <c r="A21" s="1271" t="str">
        <f>'A2-FinPerf SC'!A21</f>
        <v>Water</v>
      </c>
      <c r="B21" s="864"/>
      <c r="C21" s="1635">
        <f>O21*0.1</f>
        <v>39297430.700000003</v>
      </c>
      <c r="D21" s="1614">
        <f>O21*0.09</f>
        <v>35367687.629999995</v>
      </c>
      <c r="E21" s="1614">
        <f>O21*0.11</f>
        <v>43227173.770000003</v>
      </c>
      <c r="F21" s="1614">
        <f>O21*0.12</f>
        <v>47156916.839999996</v>
      </c>
      <c r="G21" s="1614">
        <f>O21*0.15</f>
        <v>58946146.049999997</v>
      </c>
      <c r="H21" s="1614">
        <f>O21*0.1</f>
        <v>39297430.700000003</v>
      </c>
      <c r="I21" s="1614">
        <f>O21*0.1</f>
        <v>39297430.700000003</v>
      </c>
      <c r="J21" s="1614">
        <f>O21*0.03</f>
        <v>11789229.209999999</v>
      </c>
      <c r="K21" s="1614">
        <f>O21*0.06</f>
        <v>23578458.419999998</v>
      </c>
      <c r="L21" s="1614">
        <f>O21*0.08</f>
        <v>31437944.560000002</v>
      </c>
      <c r="M21" s="1614">
        <f>27121000/2</f>
        <v>13560500</v>
      </c>
      <c r="N21" s="204">
        <f t="shared" si="1"/>
        <v>10017958.420000017</v>
      </c>
      <c r="O21" s="205">
        <f>'A2-FinPerf SC'!I21</f>
        <v>392974307</v>
      </c>
      <c r="P21" s="207">
        <f>'A2-FinPerf SC'!J21</f>
        <v>383327344.148</v>
      </c>
      <c r="Q21" s="264">
        <f>'A2-FinPerf SC'!K21</f>
        <v>411585779</v>
      </c>
      <c r="R21" s="370"/>
    </row>
    <row r="22" spans="1:18" ht="11.25" customHeight="1" x14ac:dyDescent="0.25">
      <c r="A22" s="1271" t="str">
        <f>'A2-FinPerf SC'!A22</f>
        <v>Waste water management</v>
      </c>
      <c r="B22" s="864"/>
      <c r="C22" s="1635">
        <f>O22*0.1</f>
        <v>14497441.66158816</v>
      </c>
      <c r="D22" s="1614">
        <f>O22*0.09</f>
        <v>13047697.495429343</v>
      </c>
      <c r="E22" s="1614">
        <f>O22*0.11</f>
        <v>15947185.827746974</v>
      </c>
      <c r="F22" s="1614">
        <f>O22*0.12</f>
        <v>17396929.99390579</v>
      </c>
      <c r="G22" s="1614">
        <f>O22*0.15</f>
        <v>21746162.49238224</v>
      </c>
      <c r="H22" s="1614">
        <f>O22*0.1</f>
        <v>14497441.66158816</v>
      </c>
      <c r="I22" s="1614">
        <f>O22*0.1</f>
        <v>14497441.66158816</v>
      </c>
      <c r="J22" s="1614">
        <f>O22*0.03</f>
        <v>4349232.4984764475</v>
      </c>
      <c r="K22" s="1614">
        <f>O22*0.06</f>
        <v>8698464.9969528951</v>
      </c>
      <c r="L22" s="1614">
        <f>O22*0.08</f>
        <v>11597953.329270527</v>
      </c>
      <c r="M22" s="1614">
        <f>11189000/2</f>
        <v>5594500</v>
      </c>
      <c r="N22" s="204">
        <f t="shared" si="1"/>
        <v>3103964.9969528913</v>
      </c>
      <c r="O22" s="205">
        <f>'A2-FinPerf SC'!I22</f>
        <v>144974416.61588159</v>
      </c>
      <c r="P22" s="207">
        <f>'A2-FinPerf SC'!J22</f>
        <v>148808351.01205981</v>
      </c>
      <c r="Q22" s="264">
        <f>'A2-FinPerf SC'!K22</f>
        <v>151784000</v>
      </c>
      <c r="R22" s="370"/>
    </row>
    <row r="23" spans="1:18" ht="11.25" customHeight="1" x14ac:dyDescent="0.25">
      <c r="A23" s="1271" t="str">
        <f>'A2-FinPerf SC'!A23</f>
        <v>Waste management</v>
      </c>
      <c r="B23" s="864"/>
      <c r="C23" s="1635">
        <f>O23*0.1</f>
        <v>8511990.4000000004</v>
      </c>
      <c r="D23" s="1614">
        <f>O23*0.09</f>
        <v>7660791.3599999994</v>
      </c>
      <c r="E23" s="1614">
        <f>O23*0.11</f>
        <v>9363189.4399999995</v>
      </c>
      <c r="F23" s="1614">
        <f>O23*0.12</f>
        <v>10214388.48</v>
      </c>
      <c r="G23" s="1614">
        <f>O23*0.15</f>
        <v>12767985.6</v>
      </c>
      <c r="H23" s="1614">
        <f>O23*0.1</f>
        <v>8511990.4000000004</v>
      </c>
      <c r="I23" s="1614">
        <f>O23*0.1</f>
        <v>8511990.4000000004</v>
      </c>
      <c r="J23" s="1614">
        <f>O23*0.03</f>
        <v>2553597.12</v>
      </c>
      <c r="K23" s="1614">
        <f>O23*0.06</f>
        <v>5107194.24</v>
      </c>
      <c r="L23" s="1614">
        <f>O23*0.08</f>
        <v>6809592.3200000003</v>
      </c>
      <c r="M23" s="1614">
        <f>8895000/2</f>
        <v>4447500</v>
      </c>
      <c r="N23" s="204">
        <f t="shared" si="1"/>
        <v>659694.24000000954</v>
      </c>
      <c r="O23" s="205">
        <f>'A2-FinPerf SC'!I23</f>
        <v>85119904</v>
      </c>
      <c r="P23" s="207">
        <f>'A2-FinPerf SC'!J23</f>
        <v>95058864</v>
      </c>
      <c r="Q23" s="264">
        <f>'A2-FinPerf SC'!K23</f>
        <v>97890986.265336022</v>
      </c>
      <c r="R23" s="370"/>
    </row>
    <row r="24" spans="1:18" ht="11.25" customHeight="1" x14ac:dyDescent="0.25">
      <c r="A24" s="1270" t="str">
        <f>'A2-FinPerf SC'!A24</f>
        <v>Other</v>
      </c>
      <c r="B24" s="864"/>
      <c r="C24" s="1635">
        <f>O24*0.1</f>
        <v>22653081.300000001</v>
      </c>
      <c r="D24" s="1614">
        <f>O24*0.09</f>
        <v>20387773.169999998</v>
      </c>
      <c r="E24" s="1614">
        <f>O24*0.11</f>
        <v>24918389.43</v>
      </c>
      <c r="F24" s="1614">
        <f>O24*0.12</f>
        <v>27183697.559999999</v>
      </c>
      <c r="G24" s="1614">
        <f>O24*0.15</f>
        <v>33979621.949999996</v>
      </c>
      <c r="H24" s="1614">
        <f>O24*0.1</f>
        <v>22653081.300000001</v>
      </c>
      <c r="I24" s="1614">
        <f>O24*0.1</f>
        <v>22653081.300000001</v>
      </c>
      <c r="J24" s="1614">
        <f>O24*0.03</f>
        <v>6795924.3899999997</v>
      </c>
      <c r="K24" s="1614">
        <f>O24*0.06</f>
        <v>13591848.779999999</v>
      </c>
      <c r="L24" s="1614">
        <f>O24*0.08</f>
        <v>18122465.039999999</v>
      </c>
      <c r="M24" s="1647">
        <f>1161000/2</f>
        <v>580500</v>
      </c>
      <c r="N24" s="219">
        <f t="shared" si="1"/>
        <v>13011348.780000001</v>
      </c>
      <c r="O24" s="220">
        <f>'A2-FinPerf SC'!I24</f>
        <v>226530813</v>
      </c>
      <c r="P24" s="394">
        <f>'A2-FinPerf SC'!J24</f>
        <v>80547835</v>
      </c>
      <c r="Q24" s="345">
        <f>'A2-FinPerf SC'!K24</f>
        <v>94083149</v>
      </c>
      <c r="R24" s="370"/>
    </row>
    <row r="25" spans="1:18" x14ac:dyDescent="0.25">
      <c r="A25" s="265" t="str">
        <f>'A2-FinPerf SC'!A25</f>
        <v>Total Revenue - Standard</v>
      </c>
      <c r="B25" s="865"/>
      <c r="C25" s="269">
        <f t="shared" ref="C25:Q25" si="6">C5+C9+C15+C19+C24</f>
        <v>354041384.89697558</v>
      </c>
      <c r="D25" s="267">
        <f t="shared" si="6"/>
        <v>318637246.40727794</v>
      </c>
      <c r="E25" s="267">
        <f t="shared" si="6"/>
        <v>389445523.38667303</v>
      </c>
      <c r="F25" s="267">
        <f t="shared" si="6"/>
        <v>424849661.87637061</v>
      </c>
      <c r="G25" s="267">
        <f t="shared" si="6"/>
        <v>531062077.34546322</v>
      </c>
      <c r="H25" s="267">
        <f t="shared" si="6"/>
        <v>354041384.89697558</v>
      </c>
      <c r="I25" s="267">
        <f t="shared" si="6"/>
        <v>354041384.89697558</v>
      </c>
      <c r="J25" s="267">
        <f t="shared" si="6"/>
        <v>106212415.46909265</v>
      </c>
      <c r="K25" s="267">
        <f t="shared" si="6"/>
        <v>212424830.9381853</v>
      </c>
      <c r="L25" s="267">
        <f t="shared" si="6"/>
        <v>283233107.91758043</v>
      </c>
      <c r="M25" s="267">
        <f t="shared" si="6"/>
        <v>99189000</v>
      </c>
      <c r="N25" s="267">
        <f t="shared" si="6"/>
        <v>113235830.93818519</v>
      </c>
      <c r="O25" s="215">
        <f t="shared" si="6"/>
        <v>3540413848.9697547</v>
      </c>
      <c r="P25" s="213">
        <f t="shared" si="6"/>
        <v>3722549128.5484166</v>
      </c>
      <c r="Q25" s="214">
        <f t="shared" si="6"/>
        <v>4053497623.5042105</v>
      </c>
      <c r="R25" s="370"/>
    </row>
    <row r="26" spans="1:18" ht="5.15" customHeight="1" x14ac:dyDescent="0.25">
      <c r="A26" s="273"/>
      <c r="B26" s="864"/>
      <c r="C26" s="205"/>
      <c r="D26" s="203">
        <f t="shared" ref="D26:L26" si="7">D6+D10+D16+D20+D25</f>
        <v>466811428.85727793</v>
      </c>
      <c r="E26" s="203">
        <f t="shared" si="7"/>
        <v>570547301.93667305</v>
      </c>
      <c r="F26" s="203">
        <f t="shared" si="7"/>
        <v>622415238.47637057</v>
      </c>
      <c r="G26" s="203">
        <f t="shared" si="7"/>
        <v>778019048.09546316</v>
      </c>
      <c r="H26" s="203">
        <f t="shared" si="7"/>
        <v>518679365.39697564</v>
      </c>
      <c r="I26" s="203">
        <f t="shared" si="7"/>
        <v>518679365.39697564</v>
      </c>
      <c r="J26" s="203">
        <f t="shared" si="7"/>
        <v>155603809.61909264</v>
      </c>
      <c r="K26" s="203">
        <f t="shared" si="7"/>
        <v>311207619.23818529</v>
      </c>
      <c r="L26" s="203">
        <f t="shared" si="7"/>
        <v>414943492.31758046</v>
      </c>
      <c r="M26" s="203">
        <f>M6+M10+M16+M20+M25</f>
        <v>151488500</v>
      </c>
      <c r="N26" s="204"/>
      <c r="O26" s="205"/>
      <c r="P26" s="203"/>
      <c r="Q26" s="204"/>
      <c r="R26" s="370"/>
    </row>
    <row r="27" spans="1:18" x14ac:dyDescent="0.25">
      <c r="A27" s="249" t="str">
        <f>'A2-FinPerf SC'!A27</f>
        <v>Expenditure - Standard</v>
      </c>
      <c r="B27" s="867"/>
      <c r="C27" s="205"/>
      <c r="D27" s="203"/>
      <c r="E27" s="203"/>
      <c r="F27" s="203"/>
      <c r="G27" s="203"/>
      <c r="H27" s="203"/>
      <c r="I27" s="203"/>
      <c r="J27" s="203"/>
      <c r="K27" s="203"/>
      <c r="L27" s="203"/>
      <c r="M27" s="203"/>
      <c r="N27" s="204"/>
      <c r="O27" s="205"/>
      <c r="P27" s="203"/>
      <c r="Q27" s="204"/>
      <c r="R27" s="370"/>
    </row>
    <row r="28" spans="1:18" ht="11.25" customHeight="1" x14ac:dyDescent="0.25">
      <c r="A28" s="1270" t="str">
        <f>'A2-FinPerf SC'!A28</f>
        <v>Governance and administration</v>
      </c>
      <c r="B28" s="864"/>
      <c r="C28" s="1132">
        <f>SUM(C29:C31)</f>
        <v>72740036</v>
      </c>
      <c r="D28" s="1130">
        <f>SUM(D29:D31)</f>
        <v>65466032.399999991</v>
      </c>
      <c r="E28" s="1130">
        <f t="shared" ref="E28:M28" si="8">SUM(E29:E31)</f>
        <v>80014039.599999994</v>
      </c>
      <c r="F28" s="1130">
        <f t="shared" si="8"/>
        <v>87288043.199999988</v>
      </c>
      <c r="G28" s="1130">
        <f t="shared" si="8"/>
        <v>109110054</v>
      </c>
      <c r="H28" s="1130">
        <f t="shared" si="8"/>
        <v>72740036</v>
      </c>
      <c r="I28" s="1130">
        <f t="shared" si="8"/>
        <v>72740036</v>
      </c>
      <c r="J28" s="1130">
        <f t="shared" si="8"/>
        <v>21822010.799999997</v>
      </c>
      <c r="K28" s="1130">
        <f t="shared" si="8"/>
        <v>43644021.599999994</v>
      </c>
      <c r="L28" s="1130">
        <f t="shared" si="8"/>
        <v>58192028.800000004</v>
      </c>
      <c r="M28" s="1130">
        <f t="shared" si="8"/>
        <v>16377500</v>
      </c>
      <c r="N28" s="219">
        <f t="shared" ref="N28:N37" si="9">O28-SUM(C28:M28)</f>
        <v>27266521.600000143</v>
      </c>
      <c r="O28" s="220">
        <f>'A2-FinPerf SC'!I28</f>
        <v>727400360</v>
      </c>
      <c r="P28" s="218">
        <f>'A2-FinPerf SC'!J28</f>
        <v>741406413</v>
      </c>
      <c r="Q28" s="219">
        <f>'A2-FinPerf SC'!K28</f>
        <v>678507654</v>
      </c>
      <c r="R28" s="370"/>
    </row>
    <row r="29" spans="1:18" ht="11.25" customHeight="1" x14ac:dyDescent="0.25">
      <c r="A29" s="1271" t="str">
        <f>'A2-FinPerf SC'!A29</f>
        <v>Executive and council</v>
      </c>
      <c r="B29" s="864"/>
      <c r="C29" s="1635">
        <f>O29*0.1</f>
        <v>6313442.6000000006</v>
      </c>
      <c r="D29" s="1614">
        <f>O29*0.09</f>
        <v>5682098.3399999999</v>
      </c>
      <c r="E29" s="1614">
        <f>O29*0.11</f>
        <v>6944786.8600000003</v>
      </c>
      <c r="F29" s="1614">
        <f>O29*0.12</f>
        <v>7576131.1200000001</v>
      </c>
      <c r="G29" s="1614">
        <f>O29*0.15</f>
        <v>9470163.9000000004</v>
      </c>
      <c r="H29" s="1614">
        <f>O29*0.1</f>
        <v>6313442.6000000006</v>
      </c>
      <c r="I29" s="1614">
        <f>O29*0.1</f>
        <v>6313442.6000000006</v>
      </c>
      <c r="J29" s="1614">
        <f>O29*0.03</f>
        <v>1894032.78</v>
      </c>
      <c r="K29" s="1614">
        <f>O29*0.06</f>
        <v>3788065.56</v>
      </c>
      <c r="L29" s="1614">
        <f>O29*0.08</f>
        <v>5050754.08</v>
      </c>
      <c r="M29" s="1614">
        <f>3655000/2</f>
        <v>1827500</v>
      </c>
      <c r="N29" s="204">
        <f t="shared" si="9"/>
        <v>1960565.5599999949</v>
      </c>
      <c r="O29" s="205">
        <f>'A2-FinPerf SC'!I29</f>
        <v>63134426</v>
      </c>
      <c r="P29" s="203">
        <f>'A2-FinPerf SC'!J29</f>
        <v>66337300</v>
      </c>
      <c r="Q29" s="204">
        <f>'A2-FinPerf SC'!K29</f>
        <v>69711572</v>
      </c>
      <c r="R29" s="370"/>
    </row>
    <row r="30" spans="1:18" ht="11.25" customHeight="1" x14ac:dyDescent="0.25">
      <c r="A30" s="1271" t="str">
        <f>'A2-FinPerf SC'!A30</f>
        <v>Budget and treasury office</v>
      </c>
      <c r="B30" s="864"/>
      <c r="C30" s="1635">
        <f>O30*0.1</f>
        <v>45976629.800000004</v>
      </c>
      <c r="D30" s="1614">
        <f>O30*0.09</f>
        <v>41378966.82</v>
      </c>
      <c r="E30" s="1614">
        <f>O30*0.11</f>
        <v>50574292.780000001</v>
      </c>
      <c r="F30" s="1614">
        <f>O30*0.12</f>
        <v>55171955.759999998</v>
      </c>
      <c r="G30" s="1614">
        <f>O30*0.15</f>
        <v>68964944.700000003</v>
      </c>
      <c r="H30" s="1614">
        <f>O30*0.1</f>
        <v>45976629.800000004</v>
      </c>
      <c r="I30" s="1614">
        <f>O30*0.1</f>
        <v>45976629.800000004</v>
      </c>
      <c r="J30" s="1614">
        <f>O30*0.03</f>
        <v>13792988.939999999</v>
      </c>
      <c r="K30" s="1614">
        <f>O30*0.06</f>
        <v>27585977.879999999</v>
      </c>
      <c r="L30" s="1614">
        <f>O30*0.08</f>
        <v>36781303.840000004</v>
      </c>
      <c r="M30" s="1614">
        <f>10868000/2</f>
        <v>5434000</v>
      </c>
      <c r="N30" s="204">
        <f t="shared" si="9"/>
        <v>22151977.879999995</v>
      </c>
      <c r="O30" s="205">
        <f>'A2-FinPerf SC'!I30</f>
        <v>459766298</v>
      </c>
      <c r="P30" s="203">
        <f>'A2-FinPerf SC'!J30</f>
        <v>505157497</v>
      </c>
      <c r="Q30" s="204">
        <f>'A2-FinPerf SC'!K30</f>
        <v>414644626</v>
      </c>
      <c r="R30" s="370"/>
    </row>
    <row r="31" spans="1:18" ht="11.25" customHeight="1" x14ac:dyDescent="0.25">
      <c r="A31" s="1271" t="str">
        <f>'A2-FinPerf SC'!A31</f>
        <v>Corporate services</v>
      </c>
      <c r="B31" s="864"/>
      <c r="C31" s="1635">
        <f>O31*0.1</f>
        <v>20449963.600000001</v>
      </c>
      <c r="D31" s="1614">
        <f>O31*0.09</f>
        <v>18404967.239999998</v>
      </c>
      <c r="E31" s="1614">
        <f>O31*0.11</f>
        <v>22494959.960000001</v>
      </c>
      <c r="F31" s="1614">
        <f>O31*0.12</f>
        <v>24539956.32</v>
      </c>
      <c r="G31" s="1614">
        <f>O31*0.15</f>
        <v>30674945.399999999</v>
      </c>
      <c r="H31" s="1614">
        <f>O31*0.1</f>
        <v>20449963.600000001</v>
      </c>
      <c r="I31" s="1614">
        <f>O31*0.1</f>
        <v>20449963.600000001</v>
      </c>
      <c r="J31" s="1614">
        <f>O31*0.03</f>
        <v>6134989.0800000001</v>
      </c>
      <c r="K31" s="1614">
        <f>O31*0.06</f>
        <v>12269978.16</v>
      </c>
      <c r="L31" s="1614">
        <f>O31*0.08</f>
        <v>16359970.880000001</v>
      </c>
      <c r="M31" s="1614">
        <f>18232000/2</f>
        <v>9116000</v>
      </c>
      <c r="N31" s="204">
        <f t="shared" si="9"/>
        <v>3153978.1599999964</v>
      </c>
      <c r="O31" s="205">
        <f>'A2-FinPerf SC'!I31</f>
        <v>204499636</v>
      </c>
      <c r="P31" s="203">
        <f>'A2-FinPerf SC'!J31</f>
        <v>169911616</v>
      </c>
      <c r="Q31" s="204">
        <f>'A2-FinPerf SC'!K31</f>
        <v>194151456</v>
      </c>
      <c r="R31" s="370"/>
    </row>
    <row r="32" spans="1:18" ht="11.25" customHeight="1" x14ac:dyDescent="0.25">
      <c r="A32" s="1270" t="str">
        <f>'A2-FinPerf SC'!A32</f>
        <v>Community and public safety</v>
      </c>
      <c r="B32" s="864"/>
      <c r="C32" s="1132">
        <f>SUM(C33:C37)</f>
        <v>38998304.100000009</v>
      </c>
      <c r="D32" s="1130">
        <f t="shared" ref="D32:M32" si="10">SUM(D33:D37)</f>
        <v>35098473.689999998</v>
      </c>
      <c r="E32" s="1130">
        <f t="shared" si="10"/>
        <v>42898134.510000005</v>
      </c>
      <c r="F32" s="1130">
        <f t="shared" si="10"/>
        <v>46797964.919999987</v>
      </c>
      <c r="G32" s="1130">
        <f t="shared" si="10"/>
        <v>58497456.149999991</v>
      </c>
      <c r="H32" s="1130">
        <f t="shared" si="10"/>
        <v>38998304.100000009</v>
      </c>
      <c r="I32" s="1130">
        <f t="shared" si="10"/>
        <v>38998304.100000009</v>
      </c>
      <c r="J32" s="1130">
        <f t="shared" si="10"/>
        <v>11699491.229999997</v>
      </c>
      <c r="K32" s="1130">
        <f t="shared" si="10"/>
        <v>23398982.459999993</v>
      </c>
      <c r="L32" s="1130">
        <f t="shared" si="10"/>
        <v>31198643.280000001</v>
      </c>
      <c r="M32" s="1130">
        <f t="shared" si="10"/>
        <v>12543500</v>
      </c>
      <c r="N32" s="219">
        <f t="shared" si="9"/>
        <v>10855482.459999919</v>
      </c>
      <c r="O32" s="220">
        <f>'A2-FinPerf SC'!I32</f>
        <v>389983041</v>
      </c>
      <c r="P32" s="218">
        <f>'A2-FinPerf SC'!J32</f>
        <v>424528604</v>
      </c>
      <c r="Q32" s="219">
        <f>'A2-FinPerf SC'!K32</f>
        <v>507342265</v>
      </c>
      <c r="R32" s="370"/>
    </row>
    <row r="33" spans="1:18" ht="11.25" customHeight="1" x14ac:dyDescent="0.25">
      <c r="A33" s="1271" t="str">
        <f>'A2-FinPerf SC'!A33</f>
        <v>Community and social services</v>
      </c>
      <c r="B33" s="864"/>
      <c r="C33" s="1635">
        <f>O33*0.1</f>
        <v>6295680.7000000002</v>
      </c>
      <c r="D33" s="1614">
        <f>O33*0.09</f>
        <v>5666112.6299999999</v>
      </c>
      <c r="E33" s="1614">
        <f>O33*0.11</f>
        <v>6925248.7700000005</v>
      </c>
      <c r="F33" s="1614">
        <f>O33*0.12</f>
        <v>7554816.8399999999</v>
      </c>
      <c r="G33" s="1614">
        <f>O33*0.15</f>
        <v>9443521.0499999989</v>
      </c>
      <c r="H33" s="1614">
        <f>O33*0.1</f>
        <v>6295680.7000000002</v>
      </c>
      <c r="I33" s="1614">
        <f>O33*0.1</f>
        <v>6295680.7000000002</v>
      </c>
      <c r="J33" s="1614">
        <f>O33*0.03</f>
        <v>1888704.21</v>
      </c>
      <c r="K33" s="1614">
        <f>O33*0.06</f>
        <v>3777408.42</v>
      </c>
      <c r="L33" s="1614">
        <f>O33*0.08</f>
        <v>5036544.5600000005</v>
      </c>
      <c r="M33" s="1614">
        <f>2520000/2</f>
        <v>1260000</v>
      </c>
      <c r="N33" s="204">
        <f t="shared" si="9"/>
        <v>2517408.4199999869</v>
      </c>
      <c r="O33" s="205">
        <f>'A2-FinPerf SC'!I33</f>
        <v>62956807</v>
      </c>
      <c r="P33" s="203">
        <f>'A2-FinPerf SC'!J33</f>
        <v>65256515</v>
      </c>
      <c r="Q33" s="204">
        <f>'A2-FinPerf SC'!K33</f>
        <v>73554628</v>
      </c>
      <c r="R33" s="370"/>
    </row>
    <row r="34" spans="1:18" ht="11.25" customHeight="1" x14ac:dyDescent="0.25">
      <c r="A34" s="1271" t="str">
        <f>'A2-FinPerf SC'!A34</f>
        <v>Sport and recreation</v>
      </c>
      <c r="B34" s="864"/>
      <c r="C34" s="1635">
        <f>O34*0.1</f>
        <v>7553473.1000000006</v>
      </c>
      <c r="D34" s="1614">
        <f>O34*0.09</f>
        <v>6798125.79</v>
      </c>
      <c r="E34" s="1614">
        <f>O34*0.11</f>
        <v>8308820.4100000001</v>
      </c>
      <c r="F34" s="1614">
        <f>O34*0.12</f>
        <v>9064167.7199999988</v>
      </c>
      <c r="G34" s="1614">
        <f>O34*0.15</f>
        <v>11330209.65</v>
      </c>
      <c r="H34" s="1614">
        <f>O34*0.1</f>
        <v>7553473.1000000006</v>
      </c>
      <c r="I34" s="1614">
        <f>O34*0.1</f>
        <v>7553473.1000000006</v>
      </c>
      <c r="J34" s="1614">
        <f>O34*0.03</f>
        <v>2266041.9299999997</v>
      </c>
      <c r="K34" s="1614">
        <f>O34*0.06</f>
        <v>4532083.8599999994</v>
      </c>
      <c r="L34" s="1614">
        <f>O34*0.08</f>
        <v>6042778.4800000004</v>
      </c>
      <c r="M34" s="1614">
        <f>5001000/2</f>
        <v>2500500</v>
      </c>
      <c r="N34" s="204">
        <f t="shared" si="9"/>
        <v>2031583.8599999994</v>
      </c>
      <c r="O34" s="205">
        <f>'A2-FinPerf SC'!I34</f>
        <v>75534731</v>
      </c>
      <c r="P34" s="203">
        <f>'A2-FinPerf SC'!J34</f>
        <v>79929840</v>
      </c>
      <c r="Q34" s="204">
        <f>'A2-FinPerf SC'!K34</f>
        <v>78277128</v>
      </c>
      <c r="R34" s="370"/>
    </row>
    <row r="35" spans="1:18" ht="11.25" customHeight="1" x14ac:dyDescent="0.25">
      <c r="A35" s="1271" t="str">
        <f>'A2-FinPerf SC'!A35</f>
        <v>Public safety</v>
      </c>
      <c r="B35" s="864"/>
      <c r="C35" s="1635">
        <f>O35*0.1</f>
        <v>20599840.100000001</v>
      </c>
      <c r="D35" s="1614">
        <f>O35*0.09</f>
        <v>18539856.09</v>
      </c>
      <c r="E35" s="1614">
        <f>O35*0.11</f>
        <v>22659824.109999999</v>
      </c>
      <c r="F35" s="1614">
        <f>O35*0.12</f>
        <v>24719808.119999997</v>
      </c>
      <c r="G35" s="1614">
        <f>O35*0.15</f>
        <v>30899760.149999999</v>
      </c>
      <c r="H35" s="1614">
        <f>O35*0.1</f>
        <v>20599840.100000001</v>
      </c>
      <c r="I35" s="1614">
        <f>O35*0.1</f>
        <v>20599840.100000001</v>
      </c>
      <c r="J35" s="1614">
        <f>O35*0.03</f>
        <v>6179952.0299999993</v>
      </c>
      <c r="K35" s="1614">
        <f>O35*0.06</f>
        <v>12359904.059999999</v>
      </c>
      <c r="L35" s="1614">
        <f>O35*0.08</f>
        <v>16479872.08</v>
      </c>
      <c r="M35" s="1614">
        <f>11350000/2</f>
        <v>5675000</v>
      </c>
      <c r="N35" s="204">
        <f t="shared" si="9"/>
        <v>6684904.0600000024</v>
      </c>
      <c r="O35" s="205">
        <f>'A2-FinPerf SC'!I35</f>
        <v>205998401</v>
      </c>
      <c r="P35" s="203">
        <f>'A2-FinPerf SC'!J35</f>
        <v>231587126</v>
      </c>
      <c r="Q35" s="204">
        <f>'A2-FinPerf SC'!K35</f>
        <v>305851435</v>
      </c>
      <c r="R35" s="370"/>
    </row>
    <row r="36" spans="1:18" ht="11.25" customHeight="1" x14ac:dyDescent="0.25">
      <c r="A36" s="1271" t="str">
        <f>'A2-FinPerf SC'!A36</f>
        <v>Housing</v>
      </c>
      <c r="B36" s="864"/>
      <c r="C36" s="1635">
        <f>O36*0.1</f>
        <v>1969607</v>
      </c>
      <c r="D36" s="1614">
        <f>O36*0.09</f>
        <v>1772646.3</v>
      </c>
      <c r="E36" s="1614">
        <f>O36*0.11</f>
        <v>2166567.7000000002</v>
      </c>
      <c r="F36" s="1614">
        <f>O36*0.12</f>
        <v>2363528.4</v>
      </c>
      <c r="G36" s="1614">
        <f>O36*0.15</f>
        <v>2954410.5</v>
      </c>
      <c r="H36" s="1614">
        <f>O36*0.1</f>
        <v>1969607</v>
      </c>
      <c r="I36" s="1614">
        <f>O36*0.1</f>
        <v>1969607</v>
      </c>
      <c r="J36" s="1614">
        <f>O36*0.03</f>
        <v>590882.1</v>
      </c>
      <c r="K36" s="1614">
        <f>O36*0.06</f>
        <v>1181764.2</v>
      </c>
      <c r="L36" s="1614">
        <f>O36*0.08</f>
        <v>1575685.6</v>
      </c>
      <c r="M36" s="1614">
        <f>3363000/2</f>
        <v>1681500</v>
      </c>
      <c r="N36" s="204">
        <f t="shared" si="9"/>
        <v>-499735.80000000075</v>
      </c>
      <c r="O36" s="205">
        <f>'A2-FinPerf SC'!I36</f>
        <v>19696070</v>
      </c>
      <c r="P36" s="203">
        <f>'A2-FinPerf SC'!J36</f>
        <v>20386398</v>
      </c>
      <c r="Q36" s="204">
        <f>'A2-FinPerf SC'!K36</f>
        <v>21120449</v>
      </c>
      <c r="R36" s="370"/>
    </row>
    <row r="37" spans="1:18" ht="11.25" customHeight="1" x14ac:dyDescent="0.25">
      <c r="A37" s="1271" t="str">
        <f>'A2-FinPerf SC'!A37</f>
        <v>Health</v>
      </c>
      <c r="B37" s="864"/>
      <c r="C37" s="1635">
        <f>O37*0.1</f>
        <v>2579703.2000000002</v>
      </c>
      <c r="D37" s="1614">
        <f>O37*0.09</f>
        <v>2321732.88</v>
      </c>
      <c r="E37" s="1614">
        <f>O37*0.11</f>
        <v>2837673.52</v>
      </c>
      <c r="F37" s="1614">
        <f>O37*0.12</f>
        <v>3095643.84</v>
      </c>
      <c r="G37" s="1614">
        <f>O37*0.15</f>
        <v>3869554.8</v>
      </c>
      <c r="H37" s="1614">
        <f>O37*0.1</f>
        <v>2579703.2000000002</v>
      </c>
      <c r="I37" s="1614">
        <f>O37*0.1</f>
        <v>2579703.2000000002</v>
      </c>
      <c r="J37" s="1614">
        <f>O37*0.03</f>
        <v>773910.96</v>
      </c>
      <c r="K37" s="1614">
        <f>O37*0.06</f>
        <v>1547821.92</v>
      </c>
      <c r="L37" s="1614">
        <f>O37*0.08</f>
        <v>2063762.56</v>
      </c>
      <c r="M37" s="1614">
        <f>2853000/2</f>
        <v>1426500</v>
      </c>
      <c r="N37" s="204">
        <f t="shared" si="9"/>
        <v>121321.92000000551</v>
      </c>
      <c r="O37" s="205">
        <f>'A2-FinPerf SC'!I37</f>
        <v>25797032</v>
      </c>
      <c r="P37" s="203">
        <f>'A2-FinPerf SC'!J37</f>
        <v>27368725</v>
      </c>
      <c r="Q37" s="204">
        <f>'A2-FinPerf SC'!K37</f>
        <v>28538625</v>
      </c>
      <c r="R37" s="370"/>
    </row>
    <row r="38" spans="1:18" ht="11.25" customHeight="1" x14ac:dyDescent="0.25">
      <c r="A38" s="1270" t="str">
        <f>'A2-FinPerf SC'!A38</f>
        <v>Economic and environmental services</v>
      </c>
      <c r="B38" s="864"/>
      <c r="C38" s="1132">
        <f>SUM(C39:C41)</f>
        <v>11298556.5</v>
      </c>
      <c r="D38" s="1130">
        <f t="shared" ref="D38:M38" si="11">SUM(D39:D41)</f>
        <v>10168700.85</v>
      </c>
      <c r="E38" s="1130">
        <f t="shared" si="11"/>
        <v>12428412.15</v>
      </c>
      <c r="F38" s="1130">
        <f t="shared" si="11"/>
        <v>13558267.800000001</v>
      </c>
      <c r="G38" s="1130">
        <f t="shared" si="11"/>
        <v>16947834.75</v>
      </c>
      <c r="H38" s="1130">
        <f t="shared" si="11"/>
        <v>11298556.5</v>
      </c>
      <c r="I38" s="1130">
        <f t="shared" si="11"/>
        <v>11298556.5</v>
      </c>
      <c r="J38" s="1130">
        <f t="shared" si="11"/>
        <v>3389566.95</v>
      </c>
      <c r="K38" s="1130">
        <f t="shared" si="11"/>
        <v>6779133.9000000004</v>
      </c>
      <c r="L38" s="1130">
        <f t="shared" si="11"/>
        <v>9038845.1999999993</v>
      </c>
      <c r="M38" s="1130">
        <f t="shared" si="11"/>
        <v>5371000</v>
      </c>
      <c r="N38" s="219">
        <f t="shared" ref="N38:N47" si="12">O38-SUM(C38:M38)</f>
        <v>1408133.8999999911</v>
      </c>
      <c r="O38" s="220">
        <f>'A2-FinPerf SC'!I38</f>
        <v>112985565</v>
      </c>
      <c r="P38" s="218">
        <f>'A2-FinPerf SC'!J38</f>
        <v>115416249</v>
      </c>
      <c r="Q38" s="219">
        <f>'A2-FinPerf SC'!K38</f>
        <v>96415669</v>
      </c>
      <c r="R38" s="370"/>
    </row>
    <row r="39" spans="1:18" ht="11.25" customHeight="1" x14ac:dyDescent="0.25">
      <c r="A39" s="1271" t="str">
        <f>'A2-FinPerf SC'!A39</f>
        <v>Planning and development</v>
      </c>
      <c r="B39" s="864"/>
      <c r="C39" s="1635">
        <f>O39*0.1</f>
        <v>7238282.3000000007</v>
      </c>
      <c r="D39" s="1614">
        <f>O39*0.09</f>
        <v>6514454.0699999994</v>
      </c>
      <c r="E39" s="1614">
        <f>O39*0.11</f>
        <v>7962110.5300000003</v>
      </c>
      <c r="F39" s="1614">
        <f>O39*0.12</f>
        <v>8685938.7599999998</v>
      </c>
      <c r="G39" s="1614">
        <f>O39*0.15</f>
        <v>10857423.449999999</v>
      </c>
      <c r="H39" s="1614">
        <f>O39*0.1</f>
        <v>7238282.3000000007</v>
      </c>
      <c r="I39" s="1614">
        <f>O39*0.1</f>
        <v>7238282.3000000007</v>
      </c>
      <c r="J39" s="1614">
        <f>O39*0.03</f>
        <v>2171484.69</v>
      </c>
      <c r="K39" s="1614">
        <f>O39*0.06</f>
        <v>4342969.38</v>
      </c>
      <c r="L39" s="1614">
        <f>O39*0.08</f>
        <v>5790625.8399999999</v>
      </c>
      <c r="M39" s="1614">
        <f>4258000/2</f>
        <v>2129000</v>
      </c>
      <c r="N39" s="204">
        <f t="shared" si="12"/>
        <v>2213969.3800000101</v>
      </c>
      <c r="O39" s="205">
        <f>'A2-FinPerf SC'!I39</f>
        <v>72382823</v>
      </c>
      <c r="P39" s="203">
        <f>'A2-FinPerf SC'!J39</f>
        <v>76053673</v>
      </c>
      <c r="Q39" s="204">
        <f>'A2-FinPerf SC'!K39</f>
        <v>78638623</v>
      </c>
      <c r="R39" s="370"/>
    </row>
    <row r="40" spans="1:18" ht="11.25" customHeight="1" x14ac:dyDescent="0.25">
      <c r="A40" s="1271" t="str">
        <f>'A2-FinPerf SC'!A40</f>
        <v>Road transport</v>
      </c>
      <c r="B40" s="864"/>
      <c r="C40" s="1635">
        <f>O40*0.1</f>
        <v>4060274.2</v>
      </c>
      <c r="D40" s="1614">
        <f>O40*0.09</f>
        <v>3654246.78</v>
      </c>
      <c r="E40" s="1614">
        <f>O40*0.11</f>
        <v>4466301.62</v>
      </c>
      <c r="F40" s="1614">
        <f>O40*0.12</f>
        <v>4872329.04</v>
      </c>
      <c r="G40" s="1614">
        <f>O40*0.15</f>
        <v>6090411.2999999998</v>
      </c>
      <c r="H40" s="1614">
        <f>O40*0.1</f>
        <v>4060274.2</v>
      </c>
      <c r="I40" s="1614">
        <f>O40*0.1</f>
        <v>4060274.2</v>
      </c>
      <c r="J40" s="1614">
        <f>O40*0.03</f>
        <v>1218082.26</v>
      </c>
      <c r="K40" s="1614">
        <f>O40*0.06</f>
        <v>2436164.52</v>
      </c>
      <c r="L40" s="1614">
        <f>O40*0.08</f>
        <v>3248219.36</v>
      </c>
      <c r="M40" s="1614">
        <f>6484000/2</f>
        <v>3242000</v>
      </c>
      <c r="N40" s="204">
        <f t="shared" si="12"/>
        <v>-805835.48000000417</v>
      </c>
      <c r="O40" s="205">
        <f>'A2-FinPerf SC'!I40</f>
        <v>40602742</v>
      </c>
      <c r="P40" s="203">
        <f>'A2-FinPerf SC'!J40</f>
        <v>39362576</v>
      </c>
      <c r="Q40" s="204">
        <f>'A2-FinPerf SC'!K40</f>
        <v>17777046</v>
      </c>
      <c r="R40" s="370"/>
    </row>
    <row r="41" spans="1:18" ht="11.25" customHeight="1" x14ac:dyDescent="0.25">
      <c r="A41" s="1271" t="str">
        <f>'A2-FinPerf SC'!A41</f>
        <v>Environmental protection</v>
      </c>
      <c r="B41" s="864"/>
      <c r="C41" s="1635">
        <f>O41*0.1</f>
        <v>0</v>
      </c>
      <c r="D41" s="1614">
        <f>O41*0.09</f>
        <v>0</v>
      </c>
      <c r="E41" s="1614">
        <f>O41*0.11</f>
        <v>0</v>
      </c>
      <c r="F41" s="1614">
        <f>O41*0.12</f>
        <v>0</v>
      </c>
      <c r="G41" s="1614">
        <f>O41*0.15</f>
        <v>0</v>
      </c>
      <c r="H41" s="1614">
        <f>O41*0.1</f>
        <v>0</v>
      </c>
      <c r="I41" s="1614">
        <f>O41*0.1</f>
        <v>0</v>
      </c>
      <c r="J41" s="1614">
        <f>O41*0.03</f>
        <v>0</v>
      </c>
      <c r="K41" s="1614">
        <f>O41*0.06</f>
        <v>0</v>
      </c>
      <c r="L41" s="1614">
        <f>O41*0.08</f>
        <v>0</v>
      </c>
      <c r="M41" s="1614"/>
      <c r="N41" s="204">
        <f t="shared" si="12"/>
        <v>0</v>
      </c>
      <c r="O41" s="205">
        <f>'A2-FinPerf SC'!I41</f>
        <v>0</v>
      </c>
      <c r="P41" s="203">
        <f>'A2-FinPerf SC'!J41</f>
        <v>0</v>
      </c>
      <c r="Q41" s="204">
        <f>'A2-FinPerf SC'!K41</f>
        <v>0</v>
      </c>
      <c r="R41" s="370"/>
    </row>
    <row r="42" spans="1:18" ht="11.25" customHeight="1" x14ac:dyDescent="0.25">
      <c r="A42" s="1270" t="str">
        <f>'A2-FinPerf SC'!A42</f>
        <v>Trading services</v>
      </c>
      <c r="B42" s="864"/>
      <c r="C42" s="1132">
        <f>SUM(C43:C46)</f>
        <v>218074644.70000002</v>
      </c>
      <c r="D42" s="1130">
        <f t="shared" ref="D42:M42" si="13">SUM(D43:D46)</f>
        <v>196267180.23000002</v>
      </c>
      <c r="E42" s="1130">
        <f t="shared" si="13"/>
        <v>239882109.16999999</v>
      </c>
      <c r="F42" s="1130">
        <f t="shared" si="13"/>
        <v>261689573.64000002</v>
      </c>
      <c r="G42" s="1130">
        <f t="shared" si="13"/>
        <v>327111967.05000001</v>
      </c>
      <c r="H42" s="1130">
        <f t="shared" si="13"/>
        <v>218074644.70000002</v>
      </c>
      <c r="I42" s="1130">
        <f t="shared" si="13"/>
        <v>218074644.70000002</v>
      </c>
      <c r="J42" s="1130">
        <f t="shared" si="13"/>
        <v>65422393.410000004</v>
      </c>
      <c r="K42" s="1130">
        <f t="shared" si="13"/>
        <v>130844786.82000001</v>
      </c>
      <c r="L42" s="1130">
        <f t="shared" si="13"/>
        <v>174459715.75999999</v>
      </c>
      <c r="M42" s="1130">
        <f t="shared" si="13"/>
        <v>62071500</v>
      </c>
      <c r="N42" s="219">
        <f>O42-SUM(C42:M42)</f>
        <v>68773286.819999933</v>
      </c>
      <c r="O42" s="220">
        <f>'A2-FinPerf SC'!I42</f>
        <v>2180746447</v>
      </c>
      <c r="P42" s="218">
        <f>'A2-FinPerf SC'!J42</f>
        <v>2344109932</v>
      </c>
      <c r="Q42" s="219">
        <f>'A2-FinPerf SC'!K42</f>
        <v>2620053478.6625328</v>
      </c>
      <c r="R42" s="370"/>
    </row>
    <row r="43" spans="1:18" ht="11.25" customHeight="1" x14ac:dyDescent="0.25">
      <c r="A43" s="1271" t="str">
        <f>'A2-FinPerf SC'!A43</f>
        <v>Electricity</v>
      </c>
      <c r="B43" s="864"/>
      <c r="C43" s="1635">
        <f>O43*0.1</f>
        <v>148268000</v>
      </c>
      <c r="D43" s="1614">
        <f>O43*0.09</f>
        <v>133441200</v>
      </c>
      <c r="E43" s="1614">
        <f>O43*0.11</f>
        <v>163094800</v>
      </c>
      <c r="F43" s="1614">
        <f>O43*0.12</f>
        <v>177921600</v>
      </c>
      <c r="G43" s="1614">
        <f>O43*0.15</f>
        <v>222402000</v>
      </c>
      <c r="H43" s="1614">
        <f>O43*0.1</f>
        <v>148268000</v>
      </c>
      <c r="I43" s="1614">
        <f>O43*0.1</f>
        <v>148268000</v>
      </c>
      <c r="J43" s="1614">
        <f>O43*0.03</f>
        <v>44480400</v>
      </c>
      <c r="K43" s="1614">
        <f>O43*0.06</f>
        <v>88960800</v>
      </c>
      <c r="L43" s="1614">
        <f>O43*0.08</f>
        <v>118614400</v>
      </c>
      <c r="M43" s="1614">
        <f>88111000/2</f>
        <v>44055500</v>
      </c>
      <c r="N43" s="204">
        <f t="shared" si="12"/>
        <v>44905300</v>
      </c>
      <c r="O43" s="205">
        <f>'A2-FinPerf SC'!I43</f>
        <v>1482680000</v>
      </c>
      <c r="P43" s="203">
        <f>'A2-FinPerf SC'!J43</f>
        <v>1587127000</v>
      </c>
      <c r="Q43" s="204">
        <f>'A2-FinPerf SC'!K43</f>
        <v>1784637000</v>
      </c>
      <c r="R43" s="370"/>
    </row>
    <row r="44" spans="1:18" ht="11.25" customHeight="1" x14ac:dyDescent="0.25">
      <c r="A44" s="1271" t="str">
        <f>'A2-FinPerf SC'!A44</f>
        <v>Water</v>
      </c>
      <c r="B44" s="864"/>
      <c r="C44" s="1635">
        <f>O44*0.1</f>
        <v>57348770.400000006</v>
      </c>
      <c r="D44" s="1614">
        <f>O44*0.09</f>
        <v>51613893.359999999</v>
      </c>
      <c r="E44" s="1614">
        <f>O44*0.11</f>
        <v>63083647.439999998</v>
      </c>
      <c r="F44" s="1614">
        <f>O44*0.12</f>
        <v>68818524.480000004</v>
      </c>
      <c r="G44" s="1614">
        <f>O44*0.15</f>
        <v>86023155.599999994</v>
      </c>
      <c r="H44" s="1614">
        <f>O44*0.1</f>
        <v>57348770.400000006</v>
      </c>
      <c r="I44" s="1614">
        <f>O44*0.1</f>
        <v>57348770.400000006</v>
      </c>
      <c r="J44" s="1614">
        <f>O44*0.03</f>
        <v>17204631.120000001</v>
      </c>
      <c r="K44" s="1614">
        <f>O44*0.06</f>
        <v>34409262.240000002</v>
      </c>
      <c r="L44" s="1614">
        <f>O44*0.08</f>
        <v>45879016.32</v>
      </c>
      <c r="M44" s="1614">
        <f>25459000/2</f>
        <v>12729500</v>
      </c>
      <c r="N44" s="204">
        <f t="shared" si="12"/>
        <v>21679762.24000001</v>
      </c>
      <c r="O44" s="205">
        <f>'A2-FinPerf SC'!I44</f>
        <v>573487704</v>
      </c>
      <c r="P44" s="203">
        <f>'A2-FinPerf SC'!J44</f>
        <v>525292216</v>
      </c>
      <c r="Q44" s="204">
        <f>'A2-FinPerf SC'!K44</f>
        <v>456071566</v>
      </c>
      <c r="R44" s="370"/>
    </row>
    <row r="45" spans="1:18" ht="11.25" customHeight="1" x14ac:dyDescent="0.25">
      <c r="A45" s="1271" t="str">
        <f>'A2-FinPerf SC'!A45</f>
        <v>Waste water management</v>
      </c>
      <c r="B45" s="864"/>
      <c r="C45" s="1635">
        <f>O45*0.1</f>
        <v>2355512</v>
      </c>
      <c r="D45" s="1614">
        <f>O45*0.09</f>
        <v>2119960.7999999998</v>
      </c>
      <c r="E45" s="1614">
        <f>O45*0.11</f>
        <v>2591063.2000000002</v>
      </c>
      <c r="F45" s="1614">
        <f>O45*0.12</f>
        <v>2826614.4</v>
      </c>
      <c r="G45" s="1614">
        <f>O45*0.15</f>
        <v>3533268</v>
      </c>
      <c r="H45" s="1614">
        <f>O45*0.1</f>
        <v>2355512</v>
      </c>
      <c r="I45" s="1614">
        <f>O45*0.1</f>
        <v>2355512</v>
      </c>
      <c r="J45" s="1614">
        <f>O45*0.03</f>
        <v>706653.6</v>
      </c>
      <c r="K45" s="1614">
        <f>O45*0.06</f>
        <v>1413307.2</v>
      </c>
      <c r="L45" s="1614">
        <f>O45*0.08</f>
        <v>1884409.6</v>
      </c>
      <c r="M45" s="1614">
        <f>6096000/2</f>
        <v>3048000</v>
      </c>
      <c r="N45" s="204">
        <f t="shared" si="12"/>
        <v>-1634692.8000000007</v>
      </c>
      <c r="O45" s="205">
        <f>'A2-FinPerf SC'!I45</f>
        <v>23555120</v>
      </c>
      <c r="P45" s="203">
        <f>'A2-FinPerf SC'!J45</f>
        <v>127055549</v>
      </c>
      <c r="Q45" s="204">
        <f>'A2-FinPerf SC'!K45</f>
        <v>268616748.66253299</v>
      </c>
      <c r="R45" s="370"/>
    </row>
    <row r="46" spans="1:18" ht="11.25" customHeight="1" x14ac:dyDescent="0.25">
      <c r="A46" s="1271" t="str">
        <f>'A2-FinPerf SC'!A46</f>
        <v>Waste management</v>
      </c>
      <c r="B46" s="864"/>
      <c r="C46" s="1635">
        <f>O46*0.1</f>
        <v>10102362.300000001</v>
      </c>
      <c r="D46" s="1614">
        <f>O46*0.09</f>
        <v>9092126.0700000003</v>
      </c>
      <c r="E46" s="1614">
        <f>O46*0.11</f>
        <v>11112598.529999999</v>
      </c>
      <c r="F46" s="1614">
        <f>O46*0.12</f>
        <v>12122834.76</v>
      </c>
      <c r="G46" s="1614">
        <f>O46*0.15</f>
        <v>15153543.449999999</v>
      </c>
      <c r="H46" s="1614">
        <f>O46*0.1</f>
        <v>10102362.300000001</v>
      </c>
      <c r="I46" s="1614">
        <f>O46*0.1</f>
        <v>10102362.300000001</v>
      </c>
      <c r="J46" s="1614">
        <f>O46*0.03</f>
        <v>3030708.69</v>
      </c>
      <c r="K46" s="1614">
        <f>O46*0.06</f>
        <v>6061417.3799999999</v>
      </c>
      <c r="L46" s="1614">
        <f>O46*0.08</f>
        <v>8081889.8399999999</v>
      </c>
      <c r="M46" s="1614">
        <f>4477000/2</f>
        <v>2238500</v>
      </c>
      <c r="N46" s="204">
        <f t="shared" si="12"/>
        <v>3822917.3800000101</v>
      </c>
      <c r="O46" s="205">
        <f>'A2-FinPerf SC'!I46</f>
        <v>101023623</v>
      </c>
      <c r="P46" s="203">
        <f>'A2-FinPerf SC'!J46</f>
        <v>104635167</v>
      </c>
      <c r="Q46" s="204">
        <f>'A2-FinPerf SC'!K46</f>
        <v>110728164</v>
      </c>
      <c r="R46" s="370"/>
    </row>
    <row r="47" spans="1:18" ht="11.25" customHeight="1" x14ac:dyDescent="0.25">
      <c r="A47" s="1270" t="str">
        <f>'A2-FinPerf SC'!A47</f>
        <v>Other</v>
      </c>
      <c r="B47" s="864"/>
      <c r="C47" s="1635">
        <f>O47*0.1</f>
        <v>6271304.8000000007</v>
      </c>
      <c r="D47" s="1614">
        <f>O47*0.09</f>
        <v>5644174.3199999994</v>
      </c>
      <c r="E47" s="1614">
        <f>O47*0.11</f>
        <v>6898435.2800000003</v>
      </c>
      <c r="F47" s="1614">
        <f>O47*0.12</f>
        <v>7525565.7599999998</v>
      </c>
      <c r="G47" s="1614">
        <f>O47*0.15</f>
        <v>9406957.1999999993</v>
      </c>
      <c r="H47" s="1614">
        <f>O47*0.1</f>
        <v>6271304.8000000007</v>
      </c>
      <c r="I47" s="1614">
        <f>O47*0.1</f>
        <v>6271304.8000000007</v>
      </c>
      <c r="J47" s="1614">
        <f>O47*0.03</f>
        <v>1881391.44</v>
      </c>
      <c r="K47" s="1614">
        <f>O47*0.06</f>
        <v>3762782.88</v>
      </c>
      <c r="L47" s="1614">
        <f>O47*0.08</f>
        <v>5017043.84</v>
      </c>
      <c r="M47" s="1647">
        <f>2674000/2</f>
        <v>1337000</v>
      </c>
      <c r="N47" s="219">
        <f t="shared" si="12"/>
        <v>2425782.8800000101</v>
      </c>
      <c r="O47" s="220">
        <f>'A2-FinPerf SC'!I47</f>
        <v>62713048</v>
      </c>
      <c r="P47" s="218">
        <f>'A2-FinPerf SC'!J47</f>
        <v>32531157</v>
      </c>
      <c r="Q47" s="219">
        <f>'A2-FinPerf SC'!K47</f>
        <v>101178127.83489358</v>
      </c>
      <c r="R47" s="370"/>
    </row>
    <row r="48" spans="1:18" x14ac:dyDescent="0.25">
      <c r="A48" s="265" t="str">
        <f>'A2-FinPerf SC'!A48</f>
        <v>Total Expenditure - Standard</v>
      </c>
      <c r="B48" s="865"/>
      <c r="C48" s="269">
        <f>C28+C32+C38+C42+C47</f>
        <v>347382846.10000002</v>
      </c>
      <c r="D48" s="267">
        <f t="shared" ref="D48:P48" si="14">D28+D32+D38+D42+D47</f>
        <v>312644561.49000001</v>
      </c>
      <c r="E48" s="267">
        <f t="shared" si="14"/>
        <v>382121130.70999992</v>
      </c>
      <c r="F48" s="267">
        <f t="shared" si="14"/>
        <v>416859415.31999999</v>
      </c>
      <c r="G48" s="267">
        <f t="shared" si="14"/>
        <v>521074269.14999998</v>
      </c>
      <c r="H48" s="267">
        <f t="shared" si="14"/>
        <v>347382846.10000002</v>
      </c>
      <c r="I48" s="267">
        <f t="shared" si="14"/>
        <v>347382846.10000002</v>
      </c>
      <c r="J48" s="267">
        <f t="shared" si="14"/>
        <v>104214853.83</v>
      </c>
      <c r="K48" s="267">
        <f t="shared" si="14"/>
        <v>208429707.66</v>
      </c>
      <c r="L48" s="267">
        <f t="shared" si="14"/>
        <v>277906276.88</v>
      </c>
      <c r="M48" s="267">
        <f t="shared" si="14"/>
        <v>97700500</v>
      </c>
      <c r="N48" s="214">
        <f t="shared" si="14"/>
        <v>110729207.66</v>
      </c>
      <c r="O48" s="215">
        <f t="shared" si="14"/>
        <v>3473828461</v>
      </c>
      <c r="P48" s="213">
        <f t="shared" si="14"/>
        <v>3657992355</v>
      </c>
      <c r="Q48" s="214">
        <f>Q28+Q32+Q38+Q42+Q47</f>
        <v>4003497194.4974265</v>
      </c>
      <c r="R48" s="370"/>
    </row>
    <row r="49" spans="1:18" ht="6" customHeight="1" x14ac:dyDescent="0.25">
      <c r="A49" s="273"/>
      <c r="B49" s="864"/>
      <c r="C49" s="205"/>
      <c r="D49" s="203"/>
      <c r="E49" s="203"/>
      <c r="F49" s="203"/>
      <c r="G49" s="203"/>
      <c r="H49" s="203"/>
      <c r="I49" s="203"/>
      <c r="J49" s="203"/>
      <c r="K49" s="203"/>
      <c r="L49" s="203"/>
      <c r="M49" s="203"/>
      <c r="N49" s="204"/>
      <c r="O49" s="205"/>
      <c r="P49" s="203"/>
      <c r="Q49" s="204"/>
      <c r="R49" s="370"/>
    </row>
    <row r="50" spans="1:18" x14ac:dyDescent="0.25">
      <c r="A50" s="868" t="str">
        <f>'A4-FinPerf RE'!A38&amp;" before assoc."</f>
        <v>Surplus/(Deficit) before assoc.</v>
      </c>
      <c r="B50" s="869"/>
      <c r="C50" s="215">
        <f t="shared" ref="C50:Q50" si="15">C25-C48</f>
        <v>6658538.796975553</v>
      </c>
      <c r="D50" s="213">
        <f t="shared" si="15"/>
        <v>5992684.9172779322</v>
      </c>
      <c r="E50" s="213">
        <f t="shared" si="15"/>
        <v>7324392.6766731143</v>
      </c>
      <c r="F50" s="213">
        <f t="shared" si="15"/>
        <v>7990246.556370616</v>
      </c>
      <c r="G50" s="213">
        <f t="shared" si="15"/>
        <v>9987808.1954632401</v>
      </c>
      <c r="H50" s="213">
        <f t="shared" si="15"/>
        <v>6658538.796975553</v>
      </c>
      <c r="I50" s="213">
        <f t="shared" si="15"/>
        <v>6658538.796975553</v>
      </c>
      <c r="J50" s="213">
        <f t="shared" si="15"/>
        <v>1997561.639092654</v>
      </c>
      <c r="K50" s="213">
        <f t="shared" si="15"/>
        <v>3995123.278185308</v>
      </c>
      <c r="L50" s="213">
        <f t="shared" si="15"/>
        <v>5326831.0375804305</v>
      </c>
      <c r="M50" s="213">
        <f t="shared" si="15"/>
        <v>1488500</v>
      </c>
      <c r="N50" s="214">
        <f t="shared" si="15"/>
        <v>2506623.2781851888</v>
      </c>
      <c r="O50" s="215">
        <f t="shared" si="15"/>
        <v>66585387.969754696</v>
      </c>
      <c r="P50" s="213">
        <f t="shared" si="15"/>
        <v>64556773.548416615</v>
      </c>
      <c r="Q50" s="214">
        <f t="shared" si="15"/>
        <v>50000429.006783962</v>
      </c>
      <c r="R50" s="370"/>
    </row>
    <row r="51" spans="1:18" ht="6" customHeight="1" x14ac:dyDescent="0.25">
      <c r="A51" s="273"/>
      <c r="B51" s="864"/>
      <c r="C51" s="205"/>
      <c r="D51" s="203"/>
      <c r="E51" s="203"/>
      <c r="F51" s="203"/>
      <c r="G51" s="203"/>
      <c r="H51" s="203"/>
      <c r="I51" s="203"/>
      <c r="J51" s="203"/>
      <c r="K51" s="203"/>
      <c r="L51" s="203"/>
      <c r="M51" s="203"/>
      <c r="N51" s="204"/>
      <c r="O51" s="205"/>
      <c r="P51" s="203"/>
      <c r="Q51" s="204"/>
      <c r="R51" s="370"/>
    </row>
    <row r="52" spans="1:18" x14ac:dyDescent="0.25">
      <c r="A52" s="524" t="str">
        <f>'A4-FinPerf RE'!A47</f>
        <v>Share of surplus/ (deficit) of associate</v>
      </c>
      <c r="B52" s="876"/>
      <c r="C52" s="1635"/>
      <c r="D52" s="1614"/>
      <c r="E52" s="1614"/>
      <c r="F52" s="1614"/>
      <c r="G52" s="1614"/>
      <c r="H52" s="1614"/>
      <c r="I52" s="1614"/>
      <c r="J52" s="1614"/>
      <c r="K52" s="1614"/>
      <c r="L52" s="1614"/>
      <c r="M52" s="1614"/>
      <c r="N52" s="204">
        <f>O52-SUM(C52:M52)</f>
        <v>0</v>
      </c>
      <c r="O52" s="205">
        <f>'A4-FinPerf RE'!J47</f>
        <v>0</v>
      </c>
      <c r="P52" s="203">
        <f>'A4-FinPerf RE'!K47</f>
        <v>0</v>
      </c>
      <c r="Q52" s="204">
        <f>'A4-FinPerf RE'!L47</f>
        <v>0</v>
      </c>
      <c r="R52" s="370"/>
    </row>
    <row r="53" spans="1:18" x14ac:dyDescent="0.25">
      <c r="A53" s="849" t="str">
        <f>'A4-FinPerf RE'!A38</f>
        <v>Surplus/(Deficit)</v>
      </c>
      <c r="B53" s="877">
        <v>1</v>
      </c>
      <c r="C53" s="353">
        <f>C50+C52</f>
        <v>6658538.796975553</v>
      </c>
      <c r="D53" s="227">
        <f t="shared" ref="D53:Q53" si="16">D50+D52</f>
        <v>5992684.9172779322</v>
      </c>
      <c r="E53" s="227">
        <f t="shared" si="16"/>
        <v>7324392.6766731143</v>
      </c>
      <c r="F53" s="227">
        <f t="shared" si="16"/>
        <v>7990246.556370616</v>
      </c>
      <c r="G53" s="227">
        <f t="shared" si="16"/>
        <v>9987808.1954632401</v>
      </c>
      <c r="H53" s="227">
        <f t="shared" si="16"/>
        <v>6658538.796975553</v>
      </c>
      <c r="I53" s="227">
        <f t="shared" si="16"/>
        <v>6658538.796975553</v>
      </c>
      <c r="J53" s="227">
        <f t="shared" si="16"/>
        <v>1997561.639092654</v>
      </c>
      <c r="K53" s="227">
        <f t="shared" si="16"/>
        <v>3995123.278185308</v>
      </c>
      <c r="L53" s="227">
        <f t="shared" si="16"/>
        <v>5326831.0375804305</v>
      </c>
      <c r="M53" s="227">
        <f t="shared" si="16"/>
        <v>1488500</v>
      </c>
      <c r="N53" s="352">
        <f t="shared" si="16"/>
        <v>2506623.2781851888</v>
      </c>
      <c r="O53" s="353">
        <f t="shared" si="16"/>
        <v>66585387.969754696</v>
      </c>
      <c r="P53" s="227">
        <f t="shared" si="16"/>
        <v>64556773.548416615</v>
      </c>
      <c r="Q53" s="352">
        <f t="shared" si="16"/>
        <v>50000429.006783962</v>
      </c>
      <c r="R53" s="370"/>
    </row>
    <row r="54" spans="1:18" x14ac:dyDescent="0.25">
      <c r="A54" s="878" t="str">
        <f>head27a</f>
        <v>References</v>
      </c>
      <c r="B54" s="880"/>
      <c r="C54" s="238"/>
      <c r="D54" s="238"/>
      <c r="E54" s="238"/>
      <c r="F54" s="238"/>
      <c r="G54" s="238"/>
      <c r="H54" s="238"/>
      <c r="I54" s="238"/>
      <c r="J54" s="238"/>
      <c r="K54" s="238"/>
      <c r="L54" s="238"/>
      <c r="M54" s="238"/>
      <c r="N54" s="238"/>
      <c r="O54" s="238"/>
      <c r="P54" s="238"/>
      <c r="Q54" s="238"/>
      <c r="R54" s="370"/>
    </row>
    <row r="55" spans="1:18" x14ac:dyDescent="0.25">
      <c r="A55" s="833" t="s">
        <v>1600</v>
      </c>
    </row>
    <row r="56" spans="1:18" x14ac:dyDescent="0.25">
      <c r="A56" s="437" t="s">
        <v>1512</v>
      </c>
      <c r="B56" s="805"/>
      <c r="O56" s="879">
        <f>O53-'A4-FinPerf RE'!J48</f>
        <v>-431.03024530410767</v>
      </c>
      <c r="P56" s="879">
        <f>P53-'A4-FinPerf RE'!K48</f>
        <v>-130.45158338546753</v>
      </c>
      <c r="Q56" s="879">
        <f>Q53-'A4-FinPerf RE'!L48</f>
        <v>-337.59932518005371</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78"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enableFormatConditionsCalculation="0">
    <tabColor indexed="42"/>
    <pageSetUpPr fitToPage="1"/>
  </sheetPr>
  <dimension ref="A1:T47"/>
  <sheetViews>
    <sheetView showGridLines="0" zoomScaleNormal="100" workbookViewId="0">
      <pane xSplit="2" ySplit="3" topLeftCell="C53" activePane="bottomRight" state="frozen"/>
      <selection pane="topRight"/>
      <selection pane="bottomLeft"/>
      <selection pane="bottomRight" activeCell="F57" sqref="F57"/>
    </sheetView>
  </sheetViews>
  <sheetFormatPr defaultColWidth="9.1796875" defaultRowHeight="10.5" x14ac:dyDescent="0.25"/>
  <cols>
    <col min="1" max="1" width="30.7265625" style="149" customWidth="1"/>
    <col min="2" max="2" width="21.7265625" style="247" customWidth="1"/>
    <col min="3" max="14" width="8.26953125" style="149" customWidth="1"/>
    <col min="15" max="17" width="9.26953125" style="149" customWidth="1"/>
    <col min="18" max="16384" width="9.1796875" style="149"/>
  </cols>
  <sheetData>
    <row r="1" spans="1:17" ht="13.5" customHeight="1" x14ac:dyDescent="0.3">
      <c r="A1" s="147" t="str">
        <f>muni&amp;" - "&amp; TableA28</f>
        <v>KZN225 Msunduzi - Supporting Table SA28 Consolidated budgeted monthly capital expenditure (municipal vote)</v>
      </c>
      <c r="B1" s="147"/>
      <c r="C1" s="147"/>
      <c r="D1" s="147"/>
      <c r="E1" s="147"/>
      <c r="F1" s="147"/>
      <c r="G1" s="147"/>
      <c r="H1" s="147"/>
      <c r="I1" s="147"/>
      <c r="J1" s="147"/>
      <c r="K1" s="147"/>
      <c r="L1" s="147"/>
      <c r="M1" s="147"/>
      <c r="N1" s="147"/>
      <c r="O1" s="147"/>
      <c r="P1" s="147"/>
      <c r="Q1" s="147"/>
    </row>
    <row r="2" spans="1:17" ht="27" customHeight="1" x14ac:dyDescent="0.25">
      <c r="A2" s="985" t="str">
        <f>desc</f>
        <v>Description</v>
      </c>
      <c r="B2" s="997" t="str">
        <f>head27</f>
        <v>Ref</v>
      </c>
      <c r="C2" s="2677" t="str">
        <f>Head9</f>
        <v>Budget Year 2013/14</v>
      </c>
      <c r="D2" s="2678"/>
      <c r="E2" s="2678"/>
      <c r="F2" s="2678"/>
      <c r="G2" s="2678"/>
      <c r="H2" s="2678"/>
      <c r="I2" s="2678"/>
      <c r="J2" s="2678"/>
      <c r="K2" s="2678"/>
      <c r="L2" s="2678"/>
      <c r="M2" s="2678"/>
      <c r="N2" s="2678"/>
      <c r="O2" s="2674" t="s">
        <v>1790</v>
      </c>
      <c r="P2" s="2675"/>
      <c r="Q2" s="2676"/>
    </row>
    <row r="3" spans="1:17" ht="21" x14ac:dyDescent="0.25">
      <c r="A3" s="992" t="s">
        <v>665</v>
      </c>
      <c r="B3" s="998"/>
      <c r="C3" s="299" t="s">
        <v>723</v>
      </c>
      <c r="D3" s="928" t="s">
        <v>1400</v>
      </c>
      <c r="E3" s="928" t="s">
        <v>1401</v>
      </c>
      <c r="F3" s="928" t="s">
        <v>1402</v>
      </c>
      <c r="G3" s="928" t="s">
        <v>420</v>
      </c>
      <c r="H3" s="928" t="s">
        <v>421</v>
      </c>
      <c r="I3" s="928" t="s">
        <v>706</v>
      </c>
      <c r="J3" s="928" t="s">
        <v>422</v>
      </c>
      <c r="K3" s="928" t="s">
        <v>708</v>
      </c>
      <c r="L3" s="928" t="s">
        <v>709</v>
      </c>
      <c r="M3" s="928" t="s">
        <v>710</v>
      </c>
      <c r="N3" s="389" t="s">
        <v>711</v>
      </c>
      <c r="O3" s="299" t="str">
        <f>Head9</f>
        <v>Budget Year 2013/14</v>
      </c>
      <c r="P3" s="390" t="str">
        <f>Head10</f>
        <v>Budget Year +1 2014/15</v>
      </c>
      <c r="Q3" s="391" t="str">
        <f>Head11</f>
        <v>Budget Year +2 2015/16</v>
      </c>
    </row>
    <row r="4" spans="1:17" x14ac:dyDescent="0.25">
      <c r="A4" s="181" t="s">
        <v>353</v>
      </c>
      <c r="B4" s="994">
        <v>1</v>
      </c>
      <c r="C4" s="205"/>
      <c r="D4" s="203"/>
      <c r="E4" s="203"/>
      <c r="F4" s="203"/>
      <c r="G4" s="203"/>
      <c r="H4" s="203"/>
      <c r="I4" s="203"/>
      <c r="J4" s="203"/>
      <c r="K4" s="203"/>
      <c r="L4" s="203"/>
      <c r="M4" s="203"/>
      <c r="N4" s="202"/>
      <c r="O4" s="205"/>
      <c r="P4" s="203"/>
      <c r="Q4" s="204"/>
    </row>
    <row r="5" spans="1:17" x14ac:dyDescent="0.25">
      <c r="A5" s="1136" t="str">
        <f>'A5-Capex'!A6</f>
        <v xml:space="preserve">Vote 1 - Corporate Services </v>
      </c>
      <c r="B5" s="864"/>
      <c r="C5" s="1635">
        <v>100000</v>
      </c>
      <c r="D5" s="1614">
        <v>125000</v>
      </c>
      <c r="E5" s="1614">
        <v>225000</v>
      </c>
      <c r="F5" s="1614">
        <v>275000</v>
      </c>
      <c r="G5" s="1614">
        <v>325000</v>
      </c>
      <c r="H5" s="1614">
        <v>250000</v>
      </c>
      <c r="I5" s="1614">
        <v>125000</v>
      </c>
      <c r="J5" s="1614">
        <v>225000</v>
      </c>
      <c r="K5" s="1614">
        <v>325000</v>
      </c>
      <c r="L5" s="1614">
        <v>275000</v>
      </c>
      <c r="M5" s="1614">
        <v>175000.00000000003</v>
      </c>
      <c r="N5" s="202">
        <f>O5-SUM(C5:M5)</f>
        <v>75000</v>
      </c>
      <c r="O5" s="205">
        <f>'A5-Capex'!J6</f>
        <v>2500000</v>
      </c>
      <c r="P5" s="203">
        <f>'A5-Capex'!K6</f>
        <v>5000000</v>
      </c>
      <c r="Q5" s="204">
        <f>'A5-Capex'!L6</f>
        <v>2800000</v>
      </c>
    </row>
    <row r="6" spans="1:17" x14ac:dyDescent="0.25">
      <c r="A6" s="1136" t="str">
        <f>'A5-Capex'!A7</f>
        <v>Vote 2 - Financial Management Area</v>
      </c>
      <c r="B6" s="864"/>
      <c r="C6" s="1635">
        <v>0</v>
      </c>
      <c r="D6" s="1614">
        <v>0</v>
      </c>
      <c r="E6" s="1614">
        <v>0</v>
      </c>
      <c r="F6" s="1614">
        <v>0</v>
      </c>
      <c r="G6" s="1614">
        <v>0</v>
      </c>
      <c r="H6" s="1614">
        <v>0</v>
      </c>
      <c r="I6" s="1614">
        <v>0</v>
      </c>
      <c r="J6" s="1614">
        <v>0</v>
      </c>
      <c r="K6" s="1614">
        <v>0</v>
      </c>
      <c r="L6" s="1614">
        <v>0</v>
      </c>
      <c r="M6" s="1614">
        <v>0</v>
      </c>
      <c r="N6" s="202">
        <f t="shared" ref="N6:N11" si="0">O6-SUM(C6:M6)</f>
        <v>0</v>
      </c>
      <c r="O6" s="205">
        <f>'A5-Capex'!J7</f>
        <v>0</v>
      </c>
      <c r="P6" s="203">
        <f>'A5-Capex'!K7</f>
        <v>0</v>
      </c>
      <c r="Q6" s="204">
        <f>'A5-Capex'!L7</f>
        <v>0</v>
      </c>
    </row>
    <row r="7" spans="1:17" x14ac:dyDescent="0.25">
      <c r="A7" s="1136" t="str">
        <f>'A5-Capex'!A8</f>
        <v>Vote 3 - Infrastructure Development, Service Delivery and Maintenance Management</v>
      </c>
      <c r="B7" s="864"/>
      <c r="C7" s="1635">
        <v>20123474</v>
      </c>
      <c r="D7" s="1614">
        <v>25154342.5</v>
      </c>
      <c r="E7" s="1614">
        <v>45277816.5</v>
      </c>
      <c r="F7" s="1614">
        <v>55339553.5</v>
      </c>
      <c r="G7" s="1614">
        <v>65401290.5</v>
      </c>
      <c r="H7" s="1614">
        <v>50308685</v>
      </c>
      <c r="I7" s="1614">
        <v>25154342.5</v>
      </c>
      <c r="J7" s="1614">
        <v>45277816.5</v>
      </c>
      <c r="K7" s="1614">
        <v>65401290.5</v>
      </c>
      <c r="L7" s="1614">
        <v>55339553.5</v>
      </c>
      <c r="M7" s="1614">
        <v>35216079.5</v>
      </c>
      <c r="N7" s="202">
        <f t="shared" si="0"/>
        <v>-82197391.5</v>
      </c>
      <c r="O7" s="205">
        <f>'A5-Capex'!J8</f>
        <v>405796853</v>
      </c>
      <c r="P7" s="203">
        <f>'A5-Capex'!K8</f>
        <v>202921000</v>
      </c>
      <c r="Q7" s="204">
        <f>'A5-Capex'!L8</f>
        <v>185400000</v>
      </c>
    </row>
    <row r="8" spans="1:17" x14ac:dyDescent="0.25">
      <c r="A8" s="1136" t="str">
        <f>'A5-Capex'!A9</f>
        <v>Vote 4 - Sustainable Community Service Delivery Provision Management</v>
      </c>
      <c r="B8" s="864"/>
      <c r="C8" s="1635"/>
      <c r="D8" s="1614"/>
      <c r="E8" s="1614"/>
      <c r="F8" s="1614"/>
      <c r="G8" s="1614"/>
      <c r="H8" s="1614"/>
      <c r="I8" s="1614"/>
      <c r="J8" s="1614"/>
      <c r="K8" s="1614"/>
      <c r="L8" s="1614"/>
      <c r="M8" s="1614"/>
      <c r="N8" s="202">
        <f t="shared" si="0"/>
        <v>0</v>
      </c>
      <c r="O8" s="205">
        <f>'A5-Capex'!J9</f>
        <v>0</v>
      </c>
      <c r="P8" s="203">
        <f>'A5-Capex'!K9</f>
        <v>0</v>
      </c>
      <c r="Q8" s="204">
        <f>'A5-Capex'!L9</f>
        <v>0</v>
      </c>
    </row>
    <row r="9" spans="1:17" x14ac:dyDescent="0.25">
      <c r="A9" s="1136" t="str">
        <f>'A5-Capex'!A10</f>
        <v>Vote 5 - [NAME OF VOTE 5]</v>
      </c>
      <c r="B9" s="864"/>
      <c r="C9" s="1635"/>
      <c r="D9" s="1614"/>
      <c r="E9" s="1614"/>
      <c r="F9" s="1614"/>
      <c r="G9" s="1614"/>
      <c r="H9" s="1614"/>
      <c r="I9" s="1614"/>
      <c r="J9" s="1614"/>
      <c r="K9" s="1614"/>
      <c r="L9" s="1614"/>
      <c r="M9" s="1614"/>
      <c r="N9" s="202">
        <f t="shared" si="0"/>
        <v>0</v>
      </c>
      <c r="O9" s="205">
        <f>'A5-Capex'!J10</f>
        <v>0</v>
      </c>
      <c r="P9" s="203">
        <f>'A5-Capex'!K10</f>
        <v>0</v>
      </c>
      <c r="Q9" s="204">
        <f>'A5-Capex'!L10</f>
        <v>0</v>
      </c>
    </row>
    <row r="10" spans="1:17" x14ac:dyDescent="0.25">
      <c r="A10" s="1136" t="str">
        <f>'A5-Capex'!A11</f>
        <v>Vote 6 - [NAME OF VOTE 6]</v>
      </c>
      <c r="B10" s="864"/>
      <c r="C10" s="1635"/>
      <c r="D10" s="1614"/>
      <c r="E10" s="1614"/>
      <c r="F10" s="1614"/>
      <c r="G10" s="1614"/>
      <c r="H10" s="1614"/>
      <c r="I10" s="1614"/>
      <c r="J10" s="1614"/>
      <c r="K10" s="1614"/>
      <c r="L10" s="1614"/>
      <c r="M10" s="1614"/>
      <c r="N10" s="202">
        <f t="shared" si="0"/>
        <v>0</v>
      </c>
      <c r="O10" s="205">
        <f>'A5-Capex'!J11</f>
        <v>0</v>
      </c>
      <c r="P10" s="203">
        <f>'A5-Capex'!K11</f>
        <v>0</v>
      </c>
      <c r="Q10" s="204">
        <f>'A5-Capex'!L11</f>
        <v>0</v>
      </c>
    </row>
    <row r="11" spans="1:17" x14ac:dyDescent="0.25">
      <c r="A11" s="1136" t="str">
        <f>'A5-Capex'!A12</f>
        <v>Vote 7 - [NAME OF VOTE 7]</v>
      </c>
      <c r="B11" s="864"/>
      <c r="C11" s="1635"/>
      <c r="D11" s="1614"/>
      <c r="E11" s="1614"/>
      <c r="F11" s="1614"/>
      <c r="G11" s="1614"/>
      <c r="H11" s="1614"/>
      <c r="I11" s="1614"/>
      <c r="J11" s="1614"/>
      <c r="K11" s="1614"/>
      <c r="L11" s="1614"/>
      <c r="M11" s="1614"/>
      <c r="N11" s="202">
        <f t="shared" si="0"/>
        <v>0</v>
      </c>
      <c r="O11" s="205">
        <f>'A5-Capex'!J12</f>
        <v>0</v>
      </c>
      <c r="P11" s="203">
        <f>'A5-Capex'!K12</f>
        <v>0</v>
      </c>
      <c r="Q11" s="204">
        <f>'A5-Capex'!L12</f>
        <v>0</v>
      </c>
    </row>
    <row r="12" spans="1:17" x14ac:dyDescent="0.25">
      <c r="A12" s="1136" t="str">
        <f>'A5-Capex'!A13</f>
        <v>Vote 8 - [NAME OF VOTE 8]</v>
      </c>
      <c r="B12" s="864"/>
      <c r="C12" s="1635"/>
      <c r="D12" s="1614"/>
      <c r="E12" s="1614"/>
      <c r="F12" s="1614"/>
      <c r="G12" s="1614"/>
      <c r="H12" s="1614"/>
      <c r="I12" s="1614"/>
      <c r="J12" s="1614"/>
      <c r="K12" s="1614"/>
      <c r="L12" s="1614"/>
      <c r="M12" s="1614"/>
      <c r="N12" s="202">
        <f>O12-SUM(C12:M12)</f>
        <v>0</v>
      </c>
      <c r="O12" s="205">
        <f>'A5-Capex'!J13</f>
        <v>0</v>
      </c>
      <c r="P12" s="203">
        <f>'A5-Capex'!K13</f>
        <v>0</v>
      </c>
      <c r="Q12" s="204">
        <f>'A5-Capex'!L13</f>
        <v>0</v>
      </c>
    </row>
    <row r="13" spans="1:17" x14ac:dyDescent="0.25">
      <c r="A13" s="1136" t="str">
        <f>'A5-Capex'!A14</f>
        <v>Vote 9 - [NAME OF VOTE 9]</v>
      </c>
      <c r="B13" s="864"/>
      <c r="C13" s="1635"/>
      <c r="D13" s="1614"/>
      <c r="E13" s="1614"/>
      <c r="F13" s="1614"/>
      <c r="G13" s="1614"/>
      <c r="H13" s="1614"/>
      <c r="I13" s="1614"/>
      <c r="J13" s="1614"/>
      <c r="K13" s="1614"/>
      <c r="L13" s="1614"/>
      <c r="M13" s="1614"/>
      <c r="N13" s="202">
        <f>O13-SUM(C13:M13)</f>
        <v>0</v>
      </c>
      <c r="O13" s="205">
        <f>'A5-Capex'!J14</f>
        <v>0</v>
      </c>
      <c r="P13" s="203">
        <f>'A5-Capex'!K14</f>
        <v>0</v>
      </c>
      <c r="Q13" s="204">
        <f>'A5-Capex'!L14</f>
        <v>0</v>
      </c>
    </row>
    <row r="14" spans="1:17" x14ac:dyDescent="0.25">
      <c r="A14" s="1136" t="str">
        <f>'A5-Capex'!A15</f>
        <v>Vote 10 - [NAME OF VOTE 10]</v>
      </c>
      <c r="B14" s="864"/>
      <c r="C14" s="1635"/>
      <c r="D14" s="1614"/>
      <c r="E14" s="1614"/>
      <c r="F14" s="1614"/>
      <c r="G14" s="1614"/>
      <c r="H14" s="1614"/>
      <c r="I14" s="1614"/>
      <c r="J14" s="1614"/>
      <c r="K14" s="1614"/>
      <c r="L14" s="1614"/>
      <c r="M14" s="1614"/>
      <c r="N14" s="202">
        <f t="shared" ref="N14:N19" si="1">O14-SUM(C14:M14)</f>
        <v>0</v>
      </c>
      <c r="O14" s="205">
        <f>'A5-Capex'!J15</f>
        <v>0</v>
      </c>
      <c r="P14" s="203">
        <f>'A5-Capex'!K15</f>
        <v>0</v>
      </c>
      <c r="Q14" s="204">
        <f>'A5-Capex'!L15</f>
        <v>0</v>
      </c>
    </row>
    <row r="15" spans="1:17" x14ac:dyDescent="0.25">
      <c r="A15" s="1136" t="str">
        <f>'A5-Capex'!A16</f>
        <v>Vote 11 - [NAME OF VOTE 11]</v>
      </c>
      <c r="B15" s="864"/>
      <c r="C15" s="1635"/>
      <c r="D15" s="1614"/>
      <c r="E15" s="1614"/>
      <c r="F15" s="1614"/>
      <c r="G15" s="1614"/>
      <c r="H15" s="1614"/>
      <c r="I15" s="1614"/>
      <c r="J15" s="1614"/>
      <c r="K15" s="1614"/>
      <c r="L15" s="1614"/>
      <c r="M15" s="1614"/>
      <c r="N15" s="202">
        <f t="shared" si="1"/>
        <v>0</v>
      </c>
      <c r="O15" s="205">
        <f>'A5-Capex'!J16</f>
        <v>0</v>
      </c>
      <c r="P15" s="203">
        <f>'A5-Capex'!K16</f>
        <v>0</v>
      </c>
      <c r="Q15" s="204">
        <f>'A5-Capex'!L16</f>
        <v>0</v>
      </c>
    </row>
    <row r="16" spans="1:17" x14ac:dyDescent="0.25">
      <c r="A16" s="1136" t="str">
        <f>'A5-Capex'!A17</f>
        <v>Vote 12 - [NAME OF VOTE 12]</v>
      </c>
      <c r="B16" s="864"/>
      <c r="C16" s="1635"/>
      <c r="D16" s="1614"/>
      <c r="E16" s="1614"/>
      <c r="F16" s="1614"/>
      <c r="G16" s="1614"/>
      <c r="H16" s="1614"/>
      <c r="I16" s="1614"/>
      <c r="J16" s="1614"/>
      <c r="K16" s="1614"/>
      <c r="L16" s="1614"/>
      <c r="M16" s="1614"/>
      <c r="N16" s="202">
        <f t="shared" si="1"/>
        <v>0</v>
      </c>
      <c r="O16" s="205">
        <f>'A5-Capex'!J17</f>
        <v>0</v>
      </c>
      <c r="P16" s="203">
        <f>'A5-Capex'!K17</f>
        <v>0</v>
      </c>
      <c r="Q16" s="204">
        <f>'A5-Capex'!L17</f>
        <v>0</v>
      </c>
    </row>
    <row r="17" spans="1:17" x14ac:dyDescent="0.25">
      <c r="A17" s="1136" t="str">
        <f>'A5-Capex'!A18</f>
        <v>Vote 13 - [NAME OF VOTE 13]</v>
      </c>
      <c r="B17" s="864"/>
      <c r="C17" s="1635"/>
      <c r="D17" s="1614"/>
      <c r="E17" s="1614"/>
      <c r="F17" s="1614"/>
      <c r="G17" s="1614"/>
      <c r="H17" s="1614"/>
      <c r="I17" s="1614"/>
      <c r="J17" s="1614"/>
      <c r="K17" s="1614"/>
      <c r="L17" s="1614"/>
      <c r="M17" s="1614"/>
      <c r="N17" s="202">
        <f t="shared" si="1"/>
        <v>0</v>
      </c>
      <c r="O17" s="205">
        <f>'A5-Capex'!J18</f>
        <v>0</v>
      </c>
      <c r="P17" s="203">
        <f>'A5-Capex'!K18</f>
        <v>0</v>
      </c>
      <c r="Q17" s="204">
        <f>'A5-Capex'!L18</f>
        <v>0</v>
      </c>
    </row>
    <row r="18" spans="1:17" x14ac:dyDescent="0.25">
      <c r="A18" s="1136" t="str">
        <f>'A5-Capex'!A19</f>
        <v>Vote 14 - [NAME OF VOTE 14]</v>
      </c>
      <c r="B18" s="864"/>
      <c r="C18" s="1635"/>
      <c r="D18" s="1614"/>
      <c r="E18" s="1614"/>
      <c r="F18" s="1614"/>
      <c r="G18" s="1614"/>
      <c r="H18" s="1614"/>
      <c r="I18" s="1614"/>
      <c r="J18" s="1614"/>
      <c r="K18" s="1614"/>
      <c r="L18" s="1614"/>
      <c r="M18" s="1614"/>
      <c r="N18" s="202">
        <f t="shared" si="1"/>
        <v>0</v>
      </c>
      <c r="O18" s="205">
        <f>'A5-Capex'!J19</f>
        <v>0</v>
      </c>
      <c r="P18" s="203">
        <f>'A5-Capex'!K19</f>
        <v>0</v>
      </c>
      <c r="Q18" s="204">
        <f>'A5-Capex'!L19</f>
        <v>0</v>
      </c>
    </row>
    <row r="19" spans="1:17" x14ac:dyDescent="0.25">
      <c r="A19" s="1136" t="str">
        <f>'A5-Capex'!A20</f>
        <v>Vote 15 - [NAME OF VOTE 15]</v>
      </c>
      <c r="B19" s="864"/>
      <c r="C19" s="1635"/>
      <c r="D19" s="1614"/>
      <c r="E19" s="1614"/>
      <c r="F19" s="1614"/>
      <c r="G19" s="1614"/>
      <c r="H19" s="1614"/>
      <c r="I19" s="1614"/>
      <c r="J19" s="1614"/>
      <c r="K19" s="1614"/>
      <c r="L19" s="1614"/>
      <c r="M19" s="1614"/>
      <c r="N19" s="202">
        <f t="shared" si="1"/>
        <v>0</v>
      </c>
      <c r="O19" s="205">
        <f>'A5-Capex'!J20</f>
        <v>0</v>
      </c>
      <c r="P19" s="203">
        <f>'A5-Capex'!K20</f>
        <v>0</v>
      </c>
      <c r="Q19" s="204">
        <f>'A5-Capex'!L20</f>
        <v>0</v>
      </c>
    </row>
    <row r="20" spans="1:17" x14ac:dyDescent="0.25">
      <c r="A20" s="197" t="s">
        <v>196</v>
      </c>
      <c r="B20" s="1287">
        <v>2</v>
      </c>
      <c r="C20" s="269">
        <f>SUM(C5:C19)</f>
        <v>20223474</v>
      </c>
      <c r="D20" s="267">
        <f t="shared" ref="D20:Q20" si="2">SUM(D5:D19)</f>
        <v>25279342.5</v>
      </c>
      <c r="E20" s="267">
        <f t="shared" si="2"/>
        <v>45502816.5</v>
      </c>
      <c r="F20" s="267">
        <f t="shared" si="2"/>
        <v>55614553.5</v>
      </c>
      <c r="G20" s="267">
        <f t="shared" si="2"/>
        <v>65726290.5</v>
      </c>
      <c r="H20" s="267">
        <f t="shared" si="2"/>
        <v>50558685</v>
      </c>
      <c r="I20" s="267">
        <f t="shared" si="2"/>
        <v>25279342.5</v>
      </c>
      <c r="J20" s="267">
        <f t="shared" si="2"/>
        <v>45502816.5</v>
      </c>
      <c r="K20" s="267">
        <f t="shared" si="2"/>
        <v>65726290.5</v>
      </c>
      <c r="L20" s="267">
        <f t="shared" si="2"/>
        <v>55614553.5</v>
      </c>
      <c r="M20" s="267">
        <f>SUM(M5:M19)</f>
        <v>35391079.5</v>
      </c>
      <c r="N20" s="266">
        <f t="shared" si="2"/>
        <v>-82122391.5</v>
      </c>
      <c r="O20" s="269">
        <f t="shared" si="2"/>
        <v>408296853</v>
      </c>
      <c r="P20" s="267">
        <f t="shared" si="2"/>
        <v>207921000</v>
      </c>
      <c r="Q20" s="268">
        <f t="shared" si="2"/>
        <v>188200000</v>
      </c>
    </row>
    <row r="21" spans="1:17" ht="3.75" customHeight="1" x14ac:dyDescent="0.25">
      <c r="A21" s="1285"/>
      <c r="B21" s="1286"/>
      <c r="C21" s="395"/>
      <c r="D21" s="394"/>
      <c r="E21" s="394"/>
      <c r="F21" s="394"/>
      <c r="G21" s="394"/>
      <c r="H21" s="394"/>
      <c r="I21" s="394"/>
      <c r="J21" s="394"/>
      <c r="K21" s="394"/>
      <c r="L21" s="394"/>
      <c r="M21" s="394"/>
      <c r="N21" s="396"/>
      <c r="O21" s="395"/>
      <c r="P21" s="394"/>
      <c r="Q21" s="345"/>
    </row>
    <row r="22" spans="1:17" x14ac:dyDescent="0.25">
      <c r="A22" s="181" t="s">
        <v>927</v>
      </c>
      <c r="B22" s="994"/>
      <c r="C22" s="205"/>
      <c r="D22" s="203"/>
      <c r="E22" s="203"/>
      <c r="F22" s="203"/>
      <c r="G22" s="203"/>
      <c r="H22" s="203"/>
      <c r="I22" s="203"/>
      <c r="J22" s="203"/>
      <c r="K22" s="203"/>
      <c r="L22" s="203"/>
      <c r="M22" s="203"/>
      <c r="N22" s="202"/>
      <c r="O22" s="205"/>
      <c r="P22" s="203"/>
      <c r="Q22" s="204"/>
    </row>
    <row r="23" spans="1:17" x14ac:dyDescent="0.25">
      <c r="A23" s="1136" t="str">
        <f>'A5-Capex'!A24</f>
        <v xml:space="preserve">Vote 1 - Corporate Services </v>
      </c>
      <c r="B23" s="864"/>
      <c r="C23" s="1635">
        <f>O23*0.04</f>
        <v>124000</v>
      </c>
      <c r="D23" s="1614">
        <f>O23*0.05</f>
        <v>155000</v>
      </c>
      <c r="E23" s="1614">
        <f>O23*0.09</f>
        <v>279000</v>
      </c>
      <c r="F23" s="1614">
        <f>O23*0.11</f>
        <v>341000</v>
      </c>
      <c r="G23" s="1614">
        <f>O23*0.13</f>
        <v>403000</v>
      </c>
      <c r="H23" s="1614">
        <f>O23*0.1</f>
        <v>310000</v>
      </c>
      <c r="I23" s="1614">
        <f>O23*0.05</f>
        <v>155000</v>
      </c>
      <c r="J23" s="1614">
        <f>O23*0.09</f>
        <v>279000</v>
      </c>
      <c r="K23" s="1614">
        <f>O23*0.13</f>
        <v>403000</v>
      </c>
      <c r="L23" s="1614">
        <f>O23*0.11</f>
        <v>341000</v>
      </c>
      <c r="M23" s="1614">
        <f>O23*0.07</f>
        <v>217000.00000000003</v>
      </c>
      <c r="N23" s="202">
        <f>O23-SUM(C23:M23)</f>
        <v>93000</v>
      </c>
      <c r="O23" s="205">
        <f>'A5-Capex'!J24</f>
        <v>3100000</v>
      </c>
      <c r="P23" s="203">
        <f>'A5-Capex'!K24</f>
        <v>0</v>
      </c>
      <c r="Q23" s="204">
        <f>'A5-Capex'!L24</f>
        <v>0</v>
      </c>
    </row>
    <row r="24" spans="1:17" x14ac:dyDescent="0.25">
      <c r="A24" s="1136" t="str">
        <f>'A5-Capex'!A25</f>
        <v>Vote 2 - Financial Management Area</v>
      </c>
      <c r="B24" s="864"/>
      <c r="C24" s="1635">
        <v>100000</v>
      </c>
      <c r="D24" s="1614">
        <f>O24*0.05</f>
        <v>350000</v>
      </c>
      <c r="E24" s="1614">
        <f>O24*0.09</f>
        <v>630000</v>
      </c>
      <c r="F24" s="1614">
        <f>O24*0.11</f>
        <v>770000</v>
      </c>
      <c r="G24" s="1614">
        <f>O24*0.13</f>
        <v>910000</v>
      </c>
      <c r="H24" s="1614">
        <f>O24*0.1</f>
        <v>700000</v>
      </c>
      <c r="I24" s="1614">
        <f>O24*0.05</f>
        <v>350000</v>
      </c>
      <c r="J24" s="1614">
        <f>O24*0.09</f>
        <v>630000</v>
      </c>
      <c r="K24" s="1614">
        <f>O24*0.13</f>
        <v>910000</v>
      </c>
      <c r="L24" s="1614">
        <f>O24*0.11</f>
        <v>770000</v>
      </c>
      <c r="M24" s="1614">
        <f>O24*0.07</f>
        <v>490000.00000000006</v>
      </c>
      <c r="N24" s="202">
        <f t="shared" ref="N24:N29" si="3">O24-SUM(C24:M24)</f>
        <v>390000</v>
      </c>
      <c r="O24" s="205">
        <f>'A5-Capex'!J25</f>
        <v>7000000</v>
      </c>
      <c r="P24" s="203">
        <f>'A5-Capex'!K25</f>
        <v>12000000</v>
      </c>
      <c r="Q24" s="204">
        <f>'A5-Capex'!L25</f>
        <v>13000000</v>
      </c>
    </row>
    <row r="25" spans="1:17" x14ac:dyDescent="0.25">
      <c r="A25" s="1136" t="str">
        <f>'A5-Capex'!A26</f>
        <v>Vote 3 - Infrastructure Development, Service Delivery and Maintenance Management</v>
      </c>
      <c r="B25" s="864"/>
      <c r="C25" s="1635">
        <v>100000</v>
      </c>
      <c r="D25" s="1614">
        <f>O25*0.05</f>
        <v>2447582.75</v>
      </c>
      <c r="E25" s="1614">
        <f>O25*0.09</f>
        <v>4405648.95</v>
      </c>
      <c r="F25" s="1614">
        <f>O25*0.11</f>
        <v>5384682.0499999998</v>
      </c>
      <c r="G25" s="1614">
        <f>O25*0.13</f>
        <v>6363715.1500000004</v>
      </c>
      <c r="H25" s="1614">
        <f>O25*0.1</f>
        <v>4895165.5</v>
      </c>
      <c r="I25" s="1614">
        <f>O25*0.05</f>
        <v>2447582.75</v>
      </c>
      <c r="J25" s="1614">
        <f>O25*0.09</f>
        <v>4405648.95</v>
      </c>
      <c r="K25" s="1614">
        <f>O25*0.13</f>
        <v>6363715.1500000004</v>
      </c>
      <c r="L25" s="1614">
        <f>O25*0.11</f>
        <v>5384682.0499999998</v>
      </c>
      <c r="M25" s="1614">
        <f>O25*0.07</f>
        <v>3426615.8500000006</v>
      </c>
      <c r="N25" s="202">
        <f t="shared" si="3"/>
        <v>3326615.8500000015</v>
      </c>
      <c r="O25" s="205">
        <f>'A5-Capex'!J26</f>
        <v>48951655</v>
      </c>
      <c r="P25" s="203">
        <f>'A5-Capex'!K26</f>
        <v>31550000</v>
      </c>
      <c r="Q25" s="204">
        <f>'A5-Capex'!L26</f>
        <v>39990000</v>
      </c>
    </row>
    <row r="26" spans="1:17" x14ac:dyDescent="0.25">
      <c r="A26" s="1136" t="str">
        <f>'A5-Capex'!A27</f>
        <v>Vote 4 - Sustainable Community Service Delivery Provision Management</v>
      </c>
      <c r="B26" s="864"/>
      <c r="C26" s="1635">
        <v>100000</v>
      </c>
      <c r="D26" s="1614">
        <f>O26*0.05</f>
        <v>415500</v>
      </c>
      <c r="E26" s="1614">
        <f>O26*0.09</f>
        <v>747900</v>
      </c>
      <c r="F26" s="1614">
        <f>O26*0.11</f>
        <v>914100</v>
      </c>
      <c r="G26" s="1614">
        <f>O26*0.13</f>
        <v>1080300</v>
      </c>
      <c r="H26" s="1614">
        <f>O26*0.1</f>
        <v>831000</v>
      </c>
      <c r="I26" s="1614">
        <f>O26*0.05</f>
        <v>415500</v>
      </c>
      <c r="J26" s="1614">
        <f>O26*0.09</f>
        <v>747900</v>
      </c>
      <c r="K26" s="1614">
        <f>O26*0.13</f>
        <v>1080300</v>
      </c>
      <c r="L26" s="1614">
        <f>O26*0.11</f>
        <v>914100</v>
      </c>
      <c r="M26" s="1614">
        <f>O26*0.07</f>
        <v>581700</v>
      </c>
      <c r="N26" s="202">
        <f t="shared" si="3"/>
        <v>481700</v>
      </c>
      <c r="O26" s="205">
        <f>'A5-Capex'!J27</f>
        <v>8310000</v>
      </c>
      <c r="P26" s="203">
        <f>'A5-Capex'!K27</f>
        <v>2800000</v>
      </c>
      <c r="Q26" s="204">
        <f>'A5-Capex'!L27</f>
        <v>1200000</v>
      </c>
    </row>
    <row r="27" spans="1:17" x14ac:dyDescent="0.25">
      <c r="A27" s="1136" t="str">
        <f>'A5-Capex'!A28</f>
        <v>Vote 5 - [NAME OF VOTE 5]</v>
      </c>
      <c r="B27" s="864"/>
      <c r="C27" s="1635"/>
      <c r="D27" s="1614"/>
      <c r="E27" s="1614"/>
      <c r="F27" s="1614"/>
      <c r="G27" s="1614"/>
      <c r="H27" s="1614"/>
      <c r="I27" s="1614"/>
      <c r="J27" s="1614"/>
      <c r="K27" s="1614"/>
      <c r="L27" s="1614"/>
      <c r="M27" s="1614"/>
      <c r="N27" s="202">
        <f t="shared" si="3"/>
        <v>0</v>
      </c>
      <c r="O27" s="205">
        <f>'A5-Capex'!J28</f>
        <v>0</v>
      </c>
      <c r="P27" s="203">
        <f>'A5-Capex'!K28</f>
        <v>0</v>
      </c>
      <c r="Q27" s="204">
        <f>'A5-Capex'!L28</f>
        <v>0</v>
      </c>
    </row>
    <row r="28" spans="1:17" x14ac:dyDescent="0.25">
      <c r="A28" s="1136" t="str">
        <f>'A5-Capex'!A29</f>
        <v>Vote 6 - [NAME OF VOTE 6]</v>
      </c>
      <c r="B28" s="864"/>
      <c r="C28" s="1635"/>
      <c r="D28" s="1614"/>
      <c r="E28" s="1614"/>
      <c r="F28" s="1614"/>
      <c r="G28" s="1614"/>
      <c r="H28" s="1614"/>
      <c r="I28" s="1614"/>
      <c r="J28" s="1614"/>
      <c r="K28" s="1614"/>
      <c r="L28" s="1614"/>
      <c r="M28" s="1614"/>
      <c r="N28" s="202">
        <f t="shared" si="3"/>
        <v>0</v>
      </c>
      <c r="O28" s="205">
        <f>'A5-Capex'!J29</f>
        <v>0</v>
      </c>
      <c r="P28" s="203">
        <f>'A5-Capex'!K29</f>
        <v>0</v>
      </c>
      <c r="Q28" s="204">
        <f>'A5-Capex'!L29</f>
        <v>0</v>
      </c>
    </row>
    <row r="29" spans="1:17" x14ac:dyDescent="0.25">
      <c r="A29" s="1136" t="str">
        <f>'A5-Capex'!A30</f>
        <v>Vote 7 - [NAME OF VOTE 7]</v>
      </c>
      <c r="B29" s="864"/>
      <c r="C29" s="1635"/>
      <c r="D29" s="1614"/>
      <c r="E29" s="1614"/>
      <c r="F29" s="1614"/>
      <c r="G29" s="1614"/>
      <c r="H29" s="1614"/>
      <c r="I29" s="1614"/>
      <c r="J29" s="1614"/>
      <c r="K29" s="1614"/>
      <c r="L29" s="1614"/>
      <c r="M29" s="1614"/>
      <c r="N29" s="202">
        <f t="shared" si="3"/>
        <v>0</v>
      </c>
      <c r="O29" s="205">
        <f>'A5-Capex'!J30</f>
        <v>0</v>
      </c>
      <c r="P29" s="203">
        <f>'A5-Capex'!K30</f>
        <v>0</v>
      </c>
      <c r="Q29" s="204">
        <f>'A5-Capex'!L30</f>
        <v>0</v>
      </c>
    </row>
    <row r="30" spans="1:17" x14ac:dyDescent="0.25">
      <c r="A30" s="1136" t="str">
        <f>'A5-Capex'!A31</f>
        <v>Vote 8 - [NAME OF VOTE 8]</v>
      </c>
      <c r="B30" s="864"/>
      <c r="C30" s="1635"/>
      <c r="D30" s="1614"/>
      <c r="E30" s="1614"/>
      <c r="F30" s="1614"/>
      <c r="G30" s="1614"/>
      <c r="H30" s="1614"/>
      <c r="I30" s="1614"/>
      <c r="J30" s="1614"/>
      <c r="K30" s="1614"/>
      <c r="L30" s="1614"/>
      <c r="M30" s="1614"/>
      <c r="N30" s="202">
        <f>O30-SUM(C30:M30)</f>
        <v>0</v>
      </c>
      <c r="O30" s="205">
        <f>'A5-Capex'!J31</f>
        <v>0</v>
      </c>
      <c r="P30" s="203">
        <f>'A5-Capex'!K31</f>
        <v>0</v>
      </c>
      <c r="Q30" s="204">
        <f>'A5-Capex'!L31</f>
        <v>0</v>
      </c>
    </row>
    <row r="31" spans="1:17" x14ac:dyDescent="0.25">
      <c r="A31" s="1136" t="str">
        <f>'A5-Capex'!A32</f>
        <v>Vote 9 - [NAME OF VOTE 9]</v>
      </c>
      <c r="B31" s="864"/>
      <c r="C31" s="1635"/>
      <c r="D31" s="1614"/>
      <c r="E31" s="1614"/>
      <c r="F31" s="1614"/>
      <c r="G31" s="1614"/>
      <c r="H31" s="1614"/>
      <c r="I31" s="1614"/>
      <c r="J31" s="1614"/>
      <c r="K31" s="1614"/>
      <c r="L31" s="1614"/>
      <c r="M31" s="1614"/>
      <c r="N31" s="202">
        <f>O31-SUM(C31:M31)</f>
        <v>0</v>
      </c>
      <c r="O31" s="205">
        <f>'A5-Capex'!J32</f>
        <v>0</v>
      </c>
      <c r="P31" s="203">
        <f>'A5-Capex'!K32</f>
        <v>0</v>
      </c>
      <c r="Q31" s="204">
        <f>'A5-Capex'!L32</f>
        <v>0</v>
      </c>
    </row>
    <row r="32" spans="1:17" x14ac:dyDescent="0.25">
      <c r="A32" s="1136" t="str">
        <f>'A5-Capex'!A33</f>
        <v>Vote 10 - [NAME OF VOTE 10]</v>
      </c>
      <c r="B32" s="864"/>
      <c r="C32" s="1635"/>
      <c r="D32" s="1614"/>
      <c r="E32" s="1614"/>
      <c r="F32" s="1614"/>
      <c r="G32" s="1614"/>
      <c r="H32" s="1614"/>
      <c r="I32" s="1614"/>
      <c r="J32" s="1614"/>
      <c r="K32" s="1614"/>
      <c r="L32" s="1614"/>
      <c r="M32" s="1614"/>
      <c r="N32" s="202">
        <f t="shared" ref="N32:N37" si="4">O32-SUM(C32:M32)</f>
        <v>0</v>
      </c>
      <c r="O32" s="205">
        <f>'A5-Capex'!J33</f>
        <v>0</v>
      </c>
      <c r="P32" s="203">
        <f>'A5-Capex'!K33</f>
        <v>0</v>
      </c>
      <c r="Q32" s="204">
        <f>'A5-Capex'!L33</f>
        <v>0</v>
      </c>
    </row>
    <row r="33" spans="1:20" x14ac:dyDescent="0.25">
      <c r="A33" s="1136" t="str">
        <f>'A5-Capex'!A34</f>
        <v>Vote 11 - [NAME OF VOTE 11]</v>
      </c>
      <c r="B33" s="864"/>
      <c r="C33" s="1635"/>
      <c r="D33" s="1614"/>
      <c r="E33" s="1614"/>
      <c r="F33" s="1614"/>
      <c r="G33" s="1614"/>
      <c r="H33" s="1614"/>
      <c r="I33" s="1614"/>
      <c r="J33" s="1614"/>
      <c r="K33" s="1614"/>
      <c r="L33" s="1614"/>
      <c r="M33" s="1614"/>
      <c r="N33" s="202">
        <f t="shared" si="4"/>
        <v>0</v>
      </c>
      <c r="O33" s="205">
        <f>'A5-Capex'!J34</f>
        <v>0</v>
      </c>
      <c r="P33" s="203">
        <f>'A5-Capex'!K34</f>
        <v>0</v>
      </c>
      <c r="Q33" s="204">
        <f>'A5-Capex'!L34</f>
        <v>0</v>
      </c>
    </row>
    <row r="34" spans="1:20" x14ac:dyDescent="0.25">
      <c r="A34" s="1136" t="str">
        <f>'A5-Capex'!A35</f>
        <v>Vote 12 - [NAME OF VOTE 12]</v>
      </c>
      <c r="B34" s="864"/>
      <c r="C34" s="1635"/>
      <c r="D34" s="1614"/>
      <c r="E34" s="1614"/>
      <c r="F34" s="1614"/>
      <c r="G34" s="1614"/>
      <c r="H34" s="1614"/>
      <c r="I34" s="1614"/>
      <c r="J34" s="1614"/>
      <c r="K34" s="1614"/>
      <c r="L34" s="1614"/>
      <c r="M34" s="1614"/>
      <c r="N34" s="202">
        <f t="shared" si="4"/>
        <v>0</v>
      </c>
      <c r="O34" s="205">
        <f>'A5-Capex'!J35</f>
        <v>0</v>
      </c>
      <c r="P34" s="203">
        <f>'A5-Capex'!K35</f>
        <v>0</v>
      </c>
      <c r="Q34" s="204">
        <f>'A5-Capex'!L35</f>
        <v>0</v>
      </c>
    </row>
    <row r="35" spans="1:20" x14ac:dyDescent="0.25">
      <c r="A35" s="1136" t="str">
        <f>'A5-Capex'!A36</f>
        <v>Vote 13 - [NAME OF VOTE 13]</v>
      </c>
      <c r="B35" s="864"/>
      <c r="C35" s="1635"/>
      <c r="D35" s="1614"/>
      <c r="E35" s="1614"/>
      <c r="F35" s="1614"/>
      <c r="G35" s="1614"/>
      <c r="H35" s="1614"/>
      <c r="I35" s="1614"/>
      <c r="J35" s="1614"/>
      <c r="K35" s="1614"/>
      <c r="L35" s="1614"/>
      <c r="M35" s="1614"/>
      <c r="N35" s="202">
        <f t="shared" si="4"/>
        <v>0</v>
      </c>
      <c r="O35" s="205">
        <f>'A5-Capex'!J36</f>
        <v>0</v>
      </c>
      <c r="P35" s="203">
        <f>'A5-Capex'!K36</f>
        <v>0</v>
      </c>
      <c r="Q35" s="204">
        <f>'A5-Capex'!L36</f>
        <v>0</v>
      </c>
    </row>
    <row r="36" spans="1:20" x14ac:dyDescent="0.25">
      <c r="A36" s="1136" t="str">
        <f>'A5-Capex'!A37</f>
        <v>Vote 14 - [NAME OF VOTE 14]</v>
      </c>
      <c r="B36" s="864"/>
      <c r="C36" s="1635"/>
      <c r="D36" s="1614"/>
      <c r="E36" s="1614"/>
      <c r="F36" s="1614"/>
      <c r="G36" s="1614"/>
      <c r="H36" s="1614"/>
      <c r="I36" s="1614"/>
      <c r="J36" s="1614"/>
      <c r="K36" s="1614"/>
      <c r="L36" s="1614"/>
      <c r="M36" s="1614"/>
      <c r="N36" s="202">
        <f t="shared" si="4"/>
        <v>0</v>
      </c>
      <c r="O36" s="205">
        <f>'A5-Capex'!J37</f>
        <v>0</v>
      </c>
      <c r="P36" s="203">
        <f>'A5-Capex'!K37</f>
        <v>0</v>
      </c>
      <c r="Q36" s="204">
        <f>'A5-Capex'!L37</f>
        <v>0</v>
      </c>
    </row>
    <row r="37" spans="1:20" x14ac:dyDescent="0.25">
      <c r="A37" s="1136" t="str">
        <f>'A5-Capex'!A38</f>
        <v>Vote 15 - [NAME OF VOTE 15]</v>
      </c>
      <c r="B37" s="864"/>
      <c r="C37" s="1635"/>
      <c r="D37" s="1614"/>
      <c r="E37" s="1614"/>
      <c r="F37" s="1614"/>
      <c r="G37" s="1614"/>
      <c r="H37" s="1614"/>
      <c r="I37" s="1614"/>
      <c r="J37" s="1614"/>
      <c r="K37" s="1614"/>
      <c r="L37" s="1614"/>
      <c r="M37" s="1614"/>
      <c r="N37" s="202">
        <f t="shared" si="4"/>
        <v>0</v>
      </c>
      <c r="O37" s="205">
        <f>'A5-Capex'!J38</f>
        <v>0</v>
      </c>
      <c r="P37" s="203">
        <f>'A5-Capex'!K38</f>
        <v>0</v>
      </c>
      <c r="Q37" s="204">
        <f>'A5-Capex'!L38</f>
        <v>0</v>
      </c>
    </row>
    <row r="38" spans="1:20" x14ac:dyDescent="0.25">
      <c r="A38" s="197" t="s">
        <v>1326</v>
      </c>
      <c r="B38" s="1287">
        <v>2</v>
      </c>
      <c r="C38" s="269">
        <f t="shared" ref="C38:Q38" si="5">SUM(C23:C37)</f>
        <v>424000</v>
      </c>
      <c r="D38" s="267">
        <f t="shared" si="5"/>
        <v>3368082.75</v>
      </c>
      <c r="E38" s="267">
        <f t="shared" si="5"/>
        <v>6062548.9500000002</v>
      </c>
      <c r="F38" s="267">
        <f t="shared" si="5"/>
        <v>7409782.0499999998</v>
      </c>
      <c r="G38" s="267">
        <f t="shared" si="5"/>
        <v>8757015.1500000004</v>
      </c>
      <c r="H38" s="267">
        <f t="shared" si="5"/>
        <v>6736165.5</v>
      </c>
      <c r="I38" s="267">
        <f t="shared" si="5"/>
        <v>3368082.75</v>
      </c>
      <c r="J38" s="267">
        <f t="shared" si="5"/>
        <v>6062548.9500000002</v>
      </c>
      <c r="K38" s="267">
        <f t="shared" si="5"/>
        <v>8757015.1500000004</v>
      </c>
      <c r="L38" s="267">
        <f t="shared" si="5"/>
        <v>7409782.0499999998</v>
      </c>
      <c r="M38" s="267">
        <f t="shared" si="5"/>
        <v>4715315.8500000006</v>
      </c>
      <c r="N38" s="266">
        <f t="shared" si="5"/>
        <v>4291315.8500000015</v>
      </c>
      <c r="O38" s="269">
        <f t="shared" si="5"/>
        <v>67361655</v>
      </c>
      <c r="P38" s="267">
        <f t="shared" si="5"/>
        <v>46350000</v>
      </c>
      <c r="Q38" s="268">
        <f t="shared" si="5"/>
        <v>54190000</v>
      </c>
    </row>
    <row r="39" spans="1:20" x14ac:dyDescent="0.25">
      <c r="A39" s="849" t="s">
        <v>600</v>
      </c>
      <c r="B39" s="881">
        <v>2</v>
      </c>
      <c r="C39" s="353">
        <f>C20+C38</f>
        <v>20647474</v>
      </c>
      <c r="D39" s="227">
        <f t="shared" ref="D39:N39" si="6">D20+D38</f>
        <v>28647425.25</v>
      </c>
      <c r="E39" s="227">
        <f t="shared" si="6"/>
        <v>51565365.450000003</v>
      </c>
      <c r="F39" s="227">
        <f t="shared" si="6"/>
        <v>63024335.549999997</v>
      </c>
      <c r="G39" s="227">
        <f t="shared" si="6"/>
        <v>74483305.650000006</v>
      </c>
      <c r="H39" s="227">
        <f t="shared" si="6"/>
        <v>57294850.5</v>
      </c>
      <c r="I39" s="227">
        <f t="shared" si="6"/>
        <v>28647425.25</v>
      </c>
      <c r="J39" s="227">
        <f t="shared" si="6"/>
        <v>51565365.450000003</v>
      </c>
      <c r="K39" s="227">
        <f t="shared" si="6"/>
        <v>74483305.650000006</v>
      </c>
      <c r="L39" s="227">
        <f t="shared" si="6"/>
        <v>63024335.549999997</v>
      </c>
      <c r="M39" s="227">
        <f t="shared" si="6"/>
        <v>40106395.350000001</v>
      </c>
      <c r="N39" s="226">
        <f t="shared" si="6"/>
        <v>-77831075.650000006</v>
      </c>
      <c r="O39" s="353">
        <f>O20+O38</f>
        <v>475658508</v>
      </c>
      <c r="P39" s="227">
        <f>P20+P38</f>
        <v>254271000</v>
      </c>
      <c r="Q39" s="352">
        <f>Q20+Q38</f>
        <v>242390000</v>
      </c>
    </row>
    <row r="40" spans="1:20" x14ac:dyDescent="0.25">
      <c r="A40" s="1283"/>
      <c r="B40" s="1284"/>
      <c r="C40" s="396"/>
      <c r="D40" s="396"/>
      <c r="E40" s="396"/>
      <c r="F40" s="396"/>
      <c r="G40" s="396"/>
      <c r="H40" s="396"/>
      <c r="I40" s="396"/>
      <c r="J40" s="396"/>
      <c r="K40" s="396"/>
      <c r="L40" s="396"/>
      <c r="M40" s="396"/>
      <c r="N40" s="396"/>
      <c r="O40" s="396"/>
      <c r="P40" s="396"/>
      <c r="Q40" s="396"/>
    </row>
    <row r="41" spans="1:20" x14ac:dyDescent="0.25">
      <c r="A41" s="1283"/>
      <c r="B41" s="1284"/>
      <c r="C41" s="396"/>
      <c r="D41" s="396"/>
      <c r="E41" s="396"/>
      <c r="F41" s="396"/>
      <c r="G41" s="396"/>
      <c r="H41" s="396"/>
      <c r="I41" s="396"/>
      <c r="J41" s="396"/>
      <c r="K41" s="396"/>
      <c r="L41" s="396"/>
      <c r="M41" s="396"/>
      <c r="N41" s="396"/>
      <c r="O41" s="396"/>
      <c r="P41" s="396"/>
      <c r="Q41" s="396"/>
    </row>
    <row r="42" spans="1:20" s="709" customFormat="1" x14ac:dyDescent="0.25">
      <c r="A42" s="1421" t="str">
        <f>head27a</f>
        <v>References</v>
      </c>
      <c r="B42" s="1085"/>
      <c r="C42" s="1040"/>
      <c r="D42" s="1040"/>
      <c r="E42" s="1040"/>
      <c r="F42" s="1040"/>
      <c r="G42" s="1040"/>
      <c r="H42" s="1040"/>
      <c r="I42" s="1040"/>
      <c r="J42" s="1040"/>
      <c r="K42" s="1040"/>
      <c r="L42" s="1040"/>
      <c r="M42" s="1040"/>
      <c r="N42" s="1040"/>
      <c r="O42" s="1040"/>
      <c r="P42" s="1040"/>
      <c r="Q42" s="1040"/>
      <c r="R42" s="149"/>
      <c r="S42" s="1086"/>
      <c r="T42" s="1086"/>
    </row>
    <row r="43" spans="1:20" s="709" customFormat="1" x14ac:dyDescent="0.25">
      <c r="A43" s="1415" t="s">
        <v>793</v>
      </c>
      <c r="B43" s="1048"/>
      <c r="C43" s="1040"/>
      <c r="D43" s="1040"/>
      <c r="E43" s="1040"/>
      <c r="F43" s="1040"/>
      <c r="G43" s="1040"/>
      <c r="H43" s="1040"/>
      <c r="I43" s="1040"/>
      <c r="J43" s="1040"/>
      <c r="K43" s="1040"/>
      <c r="L43" s="1040"/>
      <c r="M43" s="1040"/>
      <c r="N43" s="1040"/>
      <c r="O43" s="1040"/>
      <c r="P43" s="1040"/>
      <c r="Q43" s="1040"/>
      <c r="R43" s="1086"/>
      <c r="S43" s="1086"/>
      <c r="T43" s="1086"/>
    </row>
    <row r="44" spans="1:20" s="709" customFormat="1" x14ac:dyDescent="0.25">
      <c r="A44" s="1415" t="s">
        <v>171</v>
      </c>
      <c r="B44" s="1048"/>
    </row>
    <row r="45" spans="1:20" x14ac:dyDescent="0.25">
      <c r="A45" s="437" t="s">
        <v>1512</v>
      </c>
      <c r="B45" s="805"/>
      <c r="O45" s="807">
        <f>O20-'A5-Capex'!J21</f>
        <v>0</v>
      </c>
      <c r="P45" s="807">
        <f>P20-'A5-Capex'!K21</f>
        <v>0</v>
      </c>
      <c r="Q45" s="807">
        <f>Q20-'A5-Capex'!L21</f>
        <v>0</v>
      </c>
    </row>
    <row r="47" spans="1:20" x14ac:dyDescent="0.25">
      <c r="E47" s="149" t="s">
        <v>197</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81"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enableFormatConditionsCalculation="0">
    <tabColor indexed="44"/>
  </sheetPr>
  <dimension ref="A1:E166"/>
  <sheetViews>
    <sheetView showGridLines="0" zoomScaleNormal="100" workbookViewId="0">
      <selection activeCell="C7" sqref="C7"/>
    </sheetView>
  </sheetViews>
  <sheetFormatPr defaultColWidth="9.1796875" defaultRowHeight="10" x14ac:dyDescent="0.2"/>
  <cols>
    <col min="1" max="1" width="37.54296875" style="2234" customWidth="1"/>
    <col min="2" max="2" width="7.7265625" style="2238" customWidth="1"/>
    <col min="3" max="3" width="47.81640625" style="2239" customWidth="1"/>
    <col min="4" max="4" width="20" style="2234" hidden="1" customWidth="1"/>
    <col min="5" max="5" width="43.453125" style="2234" customWidth="1"/>
    <col min="6" max="16384" width="9.1796875" style="2234"/>
  </cols>
  <sheetData>
    <row r="1" spans="1:5" ht="35.25" customHeight="1" x14ac:dyDescent="0.3">
      <c r="A1" s="2231" t="s">
        <v>2011</v>
      </c>
      <c r="B1" s="2232"/>
      <c r="C1" s="2233" t="s">
        <v>2010</v>
      </c>
      <c r="E1" s="2231" t="s">
        <v>2034</v>
      </c>
    </row>
    <row r="2" spans="1:5" x14ac:dyDescent="0.2">
      <c r="A2" s="2234" t="str">
        <f>B2&amp;" - "&amp;C2</f>
        <v xml:space="preserve">Vote 1 - Corporate Services </v>
      </c>
      <c r="B2" s="2235" t="s">
        <v>1964</v>
      </c>
      <c r="C2" s="2229" t="s">
        <v>2315</v>
      </c>
      <c r="E2" s="2335"/>
    </row>
    <row r="3" spans="1:5" x14ac:dyDescent="0.2">
      <c r="A3" s="2234" t="str">
        <f>B13&amp;" - "&amp; C13</f>
        <v>Vote 2 - Financial Management Area</v>
      </c>
      <c r="B3" s="2236">
        <v>1.1000000000000001</v>
      </c>
      <c r="C3" s="2230" t="s">
        <v>2316</v>
      </c>
      <c r="D3" s="2234" t="str">
        <f t="shared" ref="D3:D12" si="0">CONCATENATE(B3, " - ", C3)</f>
        <v>1.1 - Council and Committee Support</v>
      </c>
      <c r="E3" s="2336" t="s">
        <v>2323</v>
      </c>
    </row>
    <row r="4" spans="1:5" x14ac:dyDescent="0.2">
      <c r="A4" s="2234" t="str">
        <f>B24&amp;" - "&amp;C24</f>
        <v>Vote 3 - Infrastructure Development, Service Delivery and Maintenance Management</v>
      </c>
      <c r="B4" s="2236">
        <v>1.2</v>
      </c>
      <c r="C4" s="2230" t="s">
        <v>2317</v>
      </c>
      <c r="D4" s="2234" t="str">
        <f t="shared" si="0"/>
        <v>1.2 - Enterprise  Wide Risk Management &amp; Audit and Compliance</v>
      </c>
      <c r="E4" s="2336" t="s">
        <v>2324</v>
      </c>
    </row>
    <row r="5" spans="1:5" x14ac:dyDescent="0.2">
      <c r="A5" s="2234" t="str">
        <f>B35&amp;" - "&amp;C35</f>
        <v>Vote 4 - Sustainable Community Service Delivery Provision Management</v>
      </c>
      <c r="B5" s="2236">
        <v>1.3</v>
      </c>
      <c r="C5" s="2230" t="s">
        <v>2318</v>
      </c>
      <c r="D5" s="2234" t="str">
        <f t="shared" si="0"/>
        <v>1.3 - Human Resources Management</v>
      </c>
      <c r="E5" s="2336" t="s">
        <v>2325</v>
      </c>
    </row>
    <row r="6" spans="1:5" x14ac:dyDescent="0.2">
      <c r="A6" s="2234" t="str">
        <f>B46&amp;" - "&amp;C46</f>
        <v>Vote 5 - [NAME OF VOTE 5]</v>
      </c>
      <c r="B6" s="2236">
        <v>1.4</v>
      </c>
      <c r="C6" s="2230" t="s">
        <v>2319</v>
      </c>
      <c r="D6" s="2234" t="str">
        <f t="shared" si="0"/>
        <v>1.4 - Legislative Compliance</v>
      </c>
      <c r="E6" s="2336" t="s">
        <v>2326</v>
      </c>
    </row>
    <row r="7" spans="1:5" x14ac:dyDescent="0.2">
      <c r="A7" s="2234" t="str">
        <f>B57&amp;" - "&amp;C57</f>
        <v>Vote 6 - [NAME OF VOTE 6]</v>
      </c>
      <c r="B7" s="2236">
        <v>1.5</v>
      </c>
      <c r="C7" s="2230" t="s">
        <v>2320</v>
      </c>
      <c r="D7" s="2234" t="str">
        <f t="shared" si="0"/>
        <v>1.5 - Local Economic Development Management</v>
      </c>
      <c r="E7" s="2336" t="s">
        <v>2327</v>
      </c>
    </row>
    <row r="8" spans="1:5" x14ac:dyDescent="0.2">
      <c r="A8" s="2234" t="str">
        <f>B68&amp;" - "&amp;C68</f>
        <v>Vote 7 - [NAME OF VOTE 7]</v>
      </c>
      <c r="B8" s="2236">
        <v>1.6</v>
      </c>
      <c r="C8" s="2230" t="s">
        <v>2321</v>
      </c>
      <c r="D8" s="2234" t="str">
        <f t="shared" si="0"/>
        <v>1.6 - Management Information Services</v>
      </c>
      <c r="E8" s="2336" t="s">
        <v>2328</v>
      </c>
    </row>
    <row r="9" spans="1:5" x14ac:dyDescent="0.2">
      <c r="A9" s="2234" t="str">
        <f>B79&amp;" - "&amp;C79</f>
        <v>Vote 8 - [NAME OF VOTE 8]</v>
      </c>
      <c r="B9" s="2236">
        <v>1.7</v>
      </c>
      <c r="C9" s="2230" t="s">
        <v>2322</v>
      </c>
      <c r="D9" s="2234" t="str">
        <f t="shared" si="0"/>
        <v>1.7 - Marketing and Public Relations Management</v>
      </c>
      <c r="E9" s="2336" t="s">
        <v>2329</v>
      </c>
    </row>
    <row r="10" spans="1:5" x14ac:dyDescent="0.2">
      <c r="A10" s="2234" t="str">
        <f>B90&amp;" - "&amp;C90</f>
        <v>Vote 9 - [NAME OF VOTE 9]</v>
      </c>
      <c r="B10" s="2236">
        <v>1.8</v>
      </c>
      <c r="C10" s="2230" t="s">
        <v>1994</v>
      </c>
      <c r="D10" s="2234" t="str">
        <f t="shared" si="0"/>
        <v>1.8 - [Name of sub-vote]</v>
      </c>
      <c r="E10" s="2336"/>
    </row>
    <row r="11" spans="1:5" x14ac:dyDescent="0.2">
      <c r="A11" s="2234" t="str">
        <f>B101&amp;" - "&amp;C101</f>
        <v>Vote 10 - [NAME OF VOTE 10]</v>
      </c>
      <c r="B11" s="2236">
        <v>1.9</v>
      </c>
      <c r="C11" s="2230" t="s">
        <v>1994</v>
      </c>
      <c r="D11" s="2234" t="str">
        <f t="shared" si="0"/>
        <v>1.9 - [Name of sub-vote]</v>
      </c>
      <c r="E11" s="2336"/>
    </row>
    <row r="12" spans="1:5" x14ac:dyDescent="0.2">
      <c r="A12" s="2234" t="str">
        <f>B112&amp;" - "&amp;C112</f>
        <v>Vote 11 - [NAME OF VOTE 11]</v>
      </c>
      <c r="B12" s="2236" t="s">
        <v>1995</v>
      </c>
      <c r="C12" s="2230" t="s">
        <v>1994</v>
      </c>
      <c r="D12" s="2234" t="str">
        <f t="shared" si="0"/>
        <v>1.10 - [Name of sub-vote]</v>
      </c>
      <c r="E12" s="2336"/>
    </row>
    <row r="13" spans="1:5" x14ac:dyDescent="0.2">
      <c r="A13" s="2234" t="str">
        <f>B123&amp;" - "&amp;C123</f>
        <v>Vote 12 - [NAME OF VOTE 12]</v>
      </c>
      <c r="B13" s="2235" t="s">
        <v>1965</v>
      </c>
      <c r="C13" s="2229" t="s">
        <v>2330</v>
      </c>
      <c r="E13" s="2335"/>
    </row>
    <row r="14" spans="1:5" x14ac:dyDescent="0.2">
      <c r="A14" s="2234" t="str">
        <f>B134&amp;" - "&amp;C134</f>
        <v>Vote 13 - [NAME OF VOTE 13]</v>
      </c>
      <c r="B14" s="2236">
        <v>2.1</v>
      </c>
      <c r="C14" s="2230" t="s">
        <v>2331</v>
      </c>
      <c r="D14" s="2234" t="str">
        <f t="shared" ref="D14:D23" si="1">CONCATENATE(B14, " - ", C14)</f>
        <v>2.1 - Budget &amp; Treasury Management</v>
      </c>
      <c r="E14" s="2336" t="s">
        <v>2335</v>
      </c>
    </row>
    <row r="15" spans="1:5" x14ac:dyDescent="0.2">
      <c r="A15" s="2234" t="str">
        <f>B145&amp;" - "&amp;C145</f>
        <v>Vote 14 - [NAME OF VOTE 14]</v>
      </c>
      <c r="B15" s="2236">
        <v>2.2000000000000002</v>
      </c>
      <c r="C15" s="2230" t="s">
        <v>2332</v>
      </c>
      <c r="D15" s="2234" t="str">
        <f t="shared" si="1"/>
        <v>2.2 - Expenditure Management</v>
      </c>
      <c r="E15" s="2336" t="s">
        <v>2336</v>
      </c>
    </row>
    <row r="16" spans="1:5" x14ac:dyDescent="0.2">
      <c r="A16" s="2234" t="str">
        <f>B156&amp;" - "&amp;C156</f>
        <v>Vote 15 - [NAME OF VOTE 15]</v>
      </c>
      <c r="B16" s="2236">
        <v>2.2999999999999998</v>
      </c>
      <c r="C16" s="2230" t="s">
        <v>2333</v>
      </c>
      <c r="D16" s="2234" t="str">
        <f t="shared" si="1"/>
        <v>2.3 - Financial Control and Cash Management</v>
      </c>
      <c r="E16" s="2336" t="s">
        <v>2337</v>
      </c>
    </row>
    <row r="17" spans="1:5" x14ac:dyDescent="0.2">
      <c r="B17" s="2236">
        <v>2.4</v>
      </c>
      <c r="C17" s="2230" t="s">
        <v>898</v>
      </c>
      <c r="D17" s="2234" t="str">
        <f t="shared" si="1"/>
        <v>2.4 - Revenue Management</v>
      </c>
      <c r="E17" s="2336" t="s">
        <v>2338</v>
      </c>
    </row>
    <row r="18" spans="1:5" x14ac:dyDescent="0.2">
      <c r="B18" s="2236">
        <v>2.5</v>
      </c>
      <c r="C18" s="2230" t="s">
        <v>2334</v>
      </c>
      <c r="D18" s="2234" t="str">
        <f t="shared" si="1"/>
        <v>2.5 - Supply Chain Management</v>
      </c>
      <c r="E18" s="2336" t="s">
        <v>2339</v>
      </c>
    </row>
    <row r="19" spans="1:5" x14ac:dyDescent="0.2">
      <c r="B19" s="2236">
        <v>2.6</v>
      </c>
      <c r="C19" s="2230" t="s">
        <v>1994</v>
      </c>
      <c r="D19" s="2234" t="str">
        <f t="shared" si="1"/>
        <v>2.6 - [Name of sub-vote]</v>
      </c>
      <c r="E19" s="2336"/>
    </row>
    <row r="20" spans="1:5" x14ac:dyDescent="0.2">
      <c r="B20" s="2236">
        <v>2.7</v>
      </c>
      <c r="C20" s="2230" t="s">
        <v>1994</v>
      </c>
      <c r="D20" s="2234" t="str">
        <f t="shared" si="1"/>
        <v>2.7 - [Name of sub-vote]</v>
      </c>
      <c r="E20" s="2336"/>
    </row>
    <row r="21" spans="1:5" x14ac:dyDescent="0.2">
      <c r="A21" s="2335"/>
      <c r="B21" s="2236">
        <v>2.8</v>
      </c>
      <c r="C21" s="2230" t="s">
        <v>1994</v>
      </c>
      <c r="D21" s="2234" t="str">
        <f t="shared" si="1"/>
        <v>2.8 - [Name of sub-vote]</v>
      </c>
      <c r="E21" s="2336"/>
    </row>
    <row r="22" spans="1:5" x14ac:dyDescent="0.2">
      <c r="B22" s="2236">
        <v>2.9</v>
      </c>
      <c r="C22" s="2230" t="s">
        <v>1994</v>
      </c>
      <c r="D22" s="2234" t="str">
        <f t="shared" si="1"/>
        <v>2.9 - [Name of sub-vote]</v>
      </c>
      <c r="E22" s="2336"/>
    </row>
    <row r="23" spans="1:5" x14ac:dyDescent="0.2">
      <c r="B23" s="2236" t="s">
        <v>1996</v>
      </c>
      <c r="C23" s="2230" t="s">
        <v>1994</v>
      </c>
      <c r="D23" s="2234" t="str">
        <f t="shared" si="1"/>
        <v>2.10 - [Name of sub-vote]</v>
      </c>
      <c r="E23" s="2336"/>
    </row>
    <row r="24" spans="1:5" x14ac:dyDescent="0.2">
      <c r="B24" s="2235" t="s">
        <v>1966</v>
      </c>
      <c r="C24" s="2229" t="s">
        <v>2340</v>
      </c>
      <c r="E24" s="2336"/>
    </row>
    <row r="25" spans="1:5" x14ac:dyDescent="0.2">
      <c r="B25" s="2236">
        <v>3.1</v>
      </c>
      <c r="C25" s="2230" t="s">
        <v>2341</v>
      </c>
      <c r="D25" s="2234" t="str">
        <f t="shared" ref="D25:D34" si="2">CONCATENATE(B25, " - ", C25)</f>
        <v>3.1 - Electricity distribution Management</v>
      </c>
      <c r="E25" s="2336" t="s">
        <v>2346</v>
      </c>
    </row>
    <row r="26" spans="1:5" x14ac:dyDescent="0.2">
      <c r="B26" s="2236">
        <v>3.2</v>
      </c>
      <c r="C26" s="2230" t="s">
        <v>2342</v>
      </c>
      <c r="D26" s="2234" t="str">
        <f t="shared" si="2"/>
        <v>3.2 - Human Settlement Development Management</v>
      </c>
      <c r="E26" s="2336" t="s">
        <v>2347</v>
      </c>
    </row>
    <row r="27" spans="1:5" x14ac:dyDescent="0.2">
      <c r="B27" s="2236">
        <v>3.3</v>
      </c>
      <c r="C27" s="2230" t="s">
        <v>2343</v>
      </c>
      <c r="D27" s="2234" t="str">
        <f t="shared" si="2"/>
        <v>3.3 - Municipal Infrastructure Planning, Funding, Maintenance and Development Management</v>
      </c>
      <c r="E27" s="2336" t="s">
        <v>2348</v>
      </c>
    </row>
    <row r="28" spans="1:5" x14ac:dyDescent="0.2">
      <c r="B28" s="2236">
        <v>3.4</v>
      </c>
      <c r="C28" s="2230" t="s">
        <v>2344</v>
      </c>
      <c r="D28" s="2234" t="str">
        <f t="shared" si="2"/>
        <v>3.4 - Roads and Stormwater</v>
      </c>
      <c r="E28" s="2336" t="s">
        <v>2349</v>
      </c>
    </row>
    <row r="29" spans="1:5" x14ac:dyDescent="0.2">
      <c r="B29" s="2236">
        <v>3.5</v>
      </c>
      <c r="C29" s="2230" t="s">
        <v>1084</v>
      </c>
      <c r="D29" s="2234" t="str">
        <f t="shared" si="2"/>
        <v>3.5 - Waste Management</v>
      </c>
      <c r="E29" s="2336" t="s">
        <v>2350</v>
      </c>
    </row>
    <row r="30" spans="1:5" x14ac:dyDescent="0.2">
      <c r="B30" s="2236">
        <v>3.6</v>
      </c>
      <c r="C30" s="2230" t="s">
        <v>2345</v>
      </c>
      <c r="D30" s="2234" t="str">
        <f t="shared" si="2"/>
        <v>3.6 - Water Distribution and Sanitation Management</v>
      </c>
      <c r="E30" s="2336" t="s">
        <v>2351</v>
      </c>
    </row>
    <row r="31" spans="1:5" x14ac:dyDescent="0.2">
      <c r="B31" s="2236">
        <v>3.7</v>
      </c>
      <c r="C31" s="2230" t="s">
        <v>1994</v>
      </c>
      <c r="D31" s="2234" t="str">
        <f t="shared" si="2"/>
        <v>3.7 - [Name of sub-vote]</v>
      </c>
      <c r="E31" s="2336"/>
    </row>
    <row r="32" spans="1:5" x14ac:dyDescent="0.2">
      <c r="B32" s="2236">
        <v>3.8</v>
      </c>
      <c r="C32" s="2230" t="s">
        <v>1994</v>
      </c>
      <c r="D32" s="2234" t="str">
        <f t="shared" si="2"/>
        <v>3.8 - [Name of sub-vote]</v>
      </c>
      <c r="E32" s="2336"/>
    </row>
    <row r="33" spans="2:5" x14ac:dyDescent="0.2">
      <c r="B33" s="2236">
        <v>3.9</v>
      </c>
      <c r="C33" s="2230" t="s">
        <v>1994</v>
      </c>
      <c r="D33" s="2234" t="str">
        <f t="shared" si="2"/>
        <v>3.9 - [Name of sub-vote]</v>
      </c>
      <c r="E33" s="2336"/>
    </row>
    <row r="34" spans="2:5" x14ac:dyDescent="0.2">
      <c r="B34" s="2236" t="s">
        <v>1997</v>
      </c>
      <c r="C34" s="2230" t="s">
        <v>1994</v>
      </c>
      <c r="D34" s="2234" t="str">
        <f t="shared" si="2"/>
        <v>3.10 - [Name of sub-vote]</v>
      </c>
      <c r="E34" s="2336"/>
    </row>
    <row r="35" spans="2:5" x14ac:dyDescent="0.2">
      <c r="B35" s="2235" t="s">
        <v>1967</v>
      </c>
      <c r="C35" s="2229" t="s">
        <v>2352</v>
      </c>
      <c r="E35" s="2336"/>
    </row>
    <row r="36" spans="2:5" x14ac:dyDescent="0.2">
      <c r="B36" s="2236">
        <v>4.0999999999999996</v>
      </c>
      <c r="C36" s="2230" t="s">
        <v>2353</v>
      </c>
      <c r="D36" s="2234" t="str">
        <f t="shared" ref="D36:D45" si="3">CONCATENATE(B36, " - ", C36)</f>
        <v>4.1 - Community Services Provision Management</v>
      </c>
      <c r="E36" s="2336" t="s">
        <v>2356</v>
      </c>
    </row>
    <row r="37" spans="2:5" x14ac:dyDescent="0.2">
      <c r="B37" s="2236">
        <v>4.2</v>
      </c>
      <c r="C37" s="2230" t="s">
        <v>2354</v>
      </c>
      <c r="D37" s="2234" t="str">
        <f t="shared" si="3"/>
        <v>4.2 - Public Safety, Enforcement and Disaster Management</v>
      </c>
      <c r="E37" s="2336" t="s">
        <v>2357</v>
      </c>
    </row>
    <row r="38" spans="2:5" x14ac:dyDescent="0.2">
      <c r="B38" s="2236">
        <v>4.3</v>
      </c>
      <c r="C38" s="2230" t="s">
        <v>2355</v>
      </c>
      <c r="D38" s="2234" t="str">
        <f t="shared" si="3"/>
        <v>4.3 - Regional Community Services Provision Management</v>
      </c>
      <c r="E38" s="2336" t="s">
        <v>2358</v>
      </c>
    </row>
    <row r="39" spans="2:5" x14ac:dyDescent="0.2">
      <c r="B39" s="2236">
        <v>4.4000000000000004</v>
      </c>
      <c r="C39" s="2230" t="s">
        <v>1994</v>
      </c>
      <c r="D39" s="2234" t="str">
        <f t="shared" si="3"/>
        <v>4.4 - [Name of sub-vote]</v>
      </c>
      <c r="E39" s="2336"/>
    </row>
    <row r="40" spans="2:5" x14ac:dyDescent="0.2">
      <c r="B40" s="2236">
        <v>4.5</v>
      </c>
      <c r="C40" s="2230" t="s">
        <v>1994</v>
      </c>
      <c r="D40" s="2234" t="str">
        <f t="shared" si="3"/>
        <v>4.5 - [Name of sub-vote]</v>
      </c>
      <c r="E40" s="2336"/>
    </row>
    <row r="41" spans="2:5" x14ac:dyDescent="0.2">
      <c r="B41" s="2236">
        <v>4.5999999999999996</v>
      </c>
      <c r="C41" s="2230" t="s">
        <v>1994</v>
      </c>
      <c r="D41" s="2234" t="str">
        <f t="shared" si="3"/>
        <v>4.6 - [Name of sub-vote]</v>
      </c>
      <c r="E41" s="2336"/>
    </row>
    <row r="42" spans="2:5" x14ac:dyDescent="0.2">
      <c r="B42" s="2236">
        <v>4.7</v>
      </c>
      <c r="C42" s="2230" t="s">
        <v>1994</v>
      </c>
      <c r="D42" s="2234" t="str">
        <f t="shared" si="3"/>
        <v>4.7 - [Name of sub-vote]</v>
      </c>
      <c r="E42" s="2336"/>
    </row>
    <row r="43" spans="2:5" x14ac:dyDescent="0.2">
      <c r="B43" s="2236">
        <v>4.8</v>
      </c>
      <c r="C43" s="2230" t="s">
        <v>1994</v>
      </c>
      <c r="D43" s="2234" t="str">
        <f t="shared" si="3"/>
        <v>4.8 - [Name of sub-vote]</v>
      </c>
      <c r="E43" s="2336"/>
    </row>
    <row r="44" spans="2:5" x14ac:dyDescent="0.2">
      <c r="B44" s="2236">
        <v>4.9000000000000004</v>
      </c>
      <c r="C44" s="2230" t="s">
        <v>1994</v>
      </c>
      <c r="D44" s="2234" t="str">
        <f t="shared" si="3"/>
        <v>4.9 - [Name of sub-vote]</v>
      </c>
      <c r="E44" s="2336"/>
    </row>
    <row r="45" spans="2:5" x14ac:dyDescent="0.2">
      <c r="B45" s="2236" t="s">
        <v>1998</v>
      </c>
      <c r="C45" s="2230" t="s">
        <v>1994</v>
      </c>
      <c r="D45" s="2234" t="str">
        <f t="shared" si="3"/>
        <v>4.10 - [Name of sub-vote]</v>
      </c>
      <c r="E45" s="2336"/>
    </row>
    <row r="46" spans="2:5" x14ac:dyDescent="0.2">
      <c r="B46" s="2235" t="s">
        <v>1968</v>
      </c>
      <c r="C46" s="2229" t="s">
        <v>2012</v>
      </c>
      <c r="E46" s="2336"/>
    </row>
    <row r="47" spans="2:5" x14ac:dyDescent="0.2">
      <c r="B47" s="2236">
        <v>5.0999999999999996</v>
      </c>
      <c r="C47" s="2230" t="s">
        <v>1994</v>
      </c>
      <c r="D47" s="2234" t="str">
        <f t="shared" ref="D47:D56" si="4">CONCATENATE(B47, " - ", C47)</f>
        <v>5.1 - [Name of sub-vote]</v>
      </c>
      <c r="E47" s="2336" t="s">
        <v>2023</v>
      </c>
    </row>
    <row r="48" spans="2:5" x14ac:dyDescent="0.2">
      <c r="B48" s="2236">
        <v>5.2</v>
      </c>
      <c r="C48" s="2230" t="s">
        <v>1994</v>
      </c>
      <c r="D48" s="2234" t="str">
        <f t="shared" si="4"/>
        <v>5.2 - [Name of sub-vote]</v>
      </c>
      <c r="E48" s="2336"/>
    </row>
    <row r="49" spans="2:5" x14ac:dyDescent="0.2">
      <c r="B49" s="2236">
        <v>5.3</v>
      </c>
      <c r="C49" s="2230" t="s">
        <v>1994</v>
      </c>
      <c r="D49" s="2234" t="str">
        <f t="shared" si="4"/>
        <v>5.3 - [Name of sub-vote]</v>
      </c>
      <c r="E49" s="2336"/>
    </row>
    <row r="50" spans="2:5" x14ac:dyDescent="0.2">
      <c r="B50" s="2236">
        <v>5.4</v>
      </c>
      <c r="C50" s="2230" t="s">
        <v>1994</v>
      </c>
      <c r="D50" s="2234" t="str">
        <f t="shared" si="4"/>
        <v>5.4 - [Name of sub-vote]</v>
      </c>
      <c r="E50" s="2336"/>
    </row>
    <row r="51" spans="2:5" x14ac:dyDescent="0.2">
      <c r="B51" s="2236">
        <v>5.5</v>
      </c>
      <c r="C51" s="2230" t="s">
        <v>1994</v>
      </c>
      <c r="D51" s="2234" t="str">
        <f t="shared" si="4"/>
        <v>5.5 - [Name of sub-vote]</v>
      </c>
      <c r="E51" s="2336"/>
    </row>
    <row r="52" spans="2:5" x14ac:dyDescent="0.2">
      <c r="B52" s="2236">
        <v>5.6</v>
      </c>
      <c r="C52" s="2230" t="s">
        <v>1994</v>
      </c>
      <c r="D52" s="2234" t="str">
        <f t="shared" si="4"/>
        <v>5.6 - [Name of sub-vote]</v>
      </c>
      <c r="E52" s="2336"/>
    </row>
    <row r="53" spans="2:5" x14ac:dyDescent="0.2">
      <c r="B53" s="2236">
        <v>5.7</v>
      </c>
      <c r="C53" s="2230" t="s">
        <v>1994</v>
      </c>
      <c r="D53" s="2234" t="str">
        <f t="shared" si="4"/>
        <v>5.7 - [Name of sub-vote]</v>
      </c>
      <c r="E53" s="2336"/>
    </row>
    <row r="54" spans="2:5" x14ac:dyDescent="0.2">
      <c r="B54" s="2236">
        <v>5.8</v>
      </c>
      <c r="C54" s="2230" t="s">
        <v>1994</v>
      </c>
      <c r="D54" s="2234" t="str">
        <f t="shared" si="4"/>
        <v>5.8 - [Name of sub-vote]</v>
      </c>
      <c r="E54" s="2336"/>
    </row>
    <row r="55" spans="2:5" x14ac:dyDescent="0.2">
      <c r="B55" s="2236">
        <v>5.9</v>
      </c>
      <c r="C55" s="2230" t="s">
        <v>1994</v>
      </c>
      <c r="D55" s="2234" t="str">
        <f t="shared" si="4"/>
        <v>5.9 - [Name of sub-vote]</v>
      </c>
      <c r="E55" s="2336"/>
    </row>
    <row r="56" spans="2:5" x14ac:dyDescent="0.2">
      <c r="B56" s="2236" t="s">
        <v>1999</v>
      </c>
      <c r="C56" s="2230" t="s">
        <v>1994</v>
      </c>
      <c r="D56" s="2234" t="str">
        <f t="shared" si="4"/>
        <v>5.10 - [Name of sub-vote]</v>
      </c>
      <c r="E56" s="2336"/>
    </row>
    <row r="57" spans="2:5" x14ac:dyDescent="0.2">
      <c r="B57" s="2235" t="s">
        <v>1969</v>
      </c>
      <c r="C57" s="2229" t="s">
        <v>2013</v>
      </c>
      <c r="E57" s="2336"/>
    </row>
    <row r="58" spans="2:5" x14ac:dyDescent="0.2">
      <c r="B58" s="2236">
        <v>6.1</v>
      </c>
      <c r="C58" s="2230" t="s">
        <v>1994</v>
      </c>
      <c r="D58" s="2234" t="str">
        <f t="shared" ref="D58:D67" si="5">CONCATENATE(B58, " - ", C58)</f>
        <v>6.1 - [Name of sub-vote]</v>
      </c>
      <c r="E58" s="2336" t="s">
        <v>2024</v>
      </c>
    </row>
    <row r="59" spans="2:5" x14ac:dyDescent="0.2">
      <c r="B59" s="2236">
        <v>6.2</v>
      </c>
      <c r="C59" s="2230" t="s">
        <v>1994</v>
      </c>
      <c r="D59" s="2234" t="str">
        <f t="shared" si="5"/>
        <v>6.2 - [Name of sub-vote]</v>
      </c>
      <c r="E59" s="2336"/>
    </row>
    <row r="60" spans="2:5" x14ac:dyDescent="0.2">
      <c r="B60" s="2236">
        <v>6.3</v>
      </c>
      <c r="C60" s="2230" t="s">
        <v>1994</v>
      </c>
      <c r="D60" s="2234" t="str">
        <f t="shared" si="5"/>
        <v>6.3 - [Name of sub-vote]</v>
      </c>
      <c r="E60" s="2336"/>
    </row>
    <row r="61" spans="2:5" x14ac:dyDescent="0.2">
      <c r="B61" s="2236">
        <v>6.4</v>
      </c>
      <c r="C61" s="2230" t="s">
        <v>1994</v>
      </c>
      <c r="D61" s="2234" t="str">
        <f t="shared" si="5"/>
        <v>6.4 - [Name of sub-vote]</v>
      </c>
      <c r="E61" s="2336"/>
    </row>
    <row r="62" spans="2:5" x14ac:dyDescent="0.2">
      <c r="B62" s="2236">
        <v>6.5</v>
      </c>
      <c r="C62" s="2230" t="s">
        <v>1994</v>
      </c>
      <c r="D62" s="2234" t="str">
        <f t="shared" si="5"/>
        <v>6.5 - [Name of sub-vote]</v>
      </c>
      <c r="E62" s="2336"/>
    </row>
    <row r="63" spans="2:5" x14ac:dyDescent="0.2">
      <c r="B63" s="2236">
        <v>6.6</v>
      </c>
      <c r="C63" s="2230" t="s">
        <v>1994</v>
      </c>
      <c r="D63" s="2234" t="str">
        <f t="shared" si="5"/>
        <v>6.6 - [Name of sub-vote]</v>
      </c>
      <c r="E63" s="2336"/>
    </row>
    <row r="64" spans="2:5" x14ac:dyDescent="0.2">
      <c r="B64" s="2236">
        <v>6.7</v>
      </c>
      <c r="C64" s="2230" t="s">
        <v>1994</v>
      </c>
      <c r="D64" s="2234" t="str">
        <f t="shared" si="5"/>
        <v>6.7 - [Name of sub-vote]</v>
      </c>
      <c r="E64" s="2336"/>
    </row>
    <row r="65" spans="2:5" x14ac:dyDescent="0.2">
      <c r="B65" s="2236">
        <v>6.8</v>
      </c>
      <c r="C65" s="2230" t="s">
        <v>1994</v>
      </c>
      <c r="D65" s="2234" t="str">
        <f t="shared" si="5"/>
        <v>6.8 - [Name of sub-vote]</v>
      </c>
      <c r="E65" s="2336"/>
    </row>
    <row r="66" spans="2:5" x14ac:dyDescent="0.2">
      <c r="B66" s="2236">
        <v>6.9</v>
      </c>
      <c r="C66" s="2230" t="s">
        <v>1994</v>
      </c>
      <c r="D66" s="2234" t="str">
        <f t="shared" si="5"/>
        <v>6.9 - [Name of sub-vote]</v>
      </c>
      <c r="E66" s="2336"/>
    </row>
    <row r="67" spans="2:5" x14ac:dyDescent="0.2">
      <c r="B67" s="2236" t="s">
        <v>2000</v>
      </c>
      <c r="C67" s="2230" t="s">
        <v>1994</v>
      </c>
      <c r="D67" s="2234" t="str">
        <f t="shared" si="5"/>
        <v>6.10 - [Name of sub-vote]</v>
      </c>
      <c r="E67" s="2336"/>
    </row>
    <row r="68" spans="2:5" x14ac:dyDescent="0.2">
      <c r="B68" s="2237" t="s">
        <v>1970</v>
      </c>
      <c r="C68" s="2229" t="s">
        <v>2014</v>
      </c>
      <c r="E68" s="2336"/>
    </row>
    <row r="69" spans="2:5" x14ac:dyDescent="0.2">
      <c r="B69" s="2236">
        <v>7.1</v>
      </c>
      <c r="C69" s="2230" t="s">
        <v>1994</v>
      </c>
      <c r="D69" s="2234" t="str">
        <f t="shared" ref="D69:D78" si="6">CONCATENATE(B69, " - ", C69)</f>
        <v>7.1 - [Name of sub-vote]</v>
      </c>
      <c r="E69" s="2336" t="s">
        <v>2025</v>
      </c>
    </row>
    <row r="70" spans="2:5" x14ac:dyDescent="0.2">
      <c r="B70" s="2236">
        <v>7.2</v>
      </c>
      <c r="C70" s="2230" t="s">
        <v>1994</v>
      </c>
      <c r="D70" s="2234" t="str">
        <f t="shared" si="6"/>
        <v>7.2 - [Name of sub-vote]</v>
      </c>
      <c r="E70" s="2336"/>
    </row>
    <row r="71" spans="2:5" x14ac:dyDescent="0.2">
      <c r="B71" s="2236">
        <v>7.3</v>
      </c>
      <c r="C71" s="2230" t="s">
        <v>1994</v>
      </c>
      <c r="D71" s="2234" t="str">
        <f t="shared" si="6"/>
        <v>7.3 - [Name of sub-vote]</v>
      </c>
      <c r="E71" s="2336"/>
    </row>
    <row r="72" spans="2:5" x14ac:dyDescent="0.2">
      <c r="B72" s="2236">
        <v>7.4</v>
      </c>
      <c r="C72" s="2230" t="s">
        <v>1994</v>
      </c>
      <c r="D72" s="2234" t="str">
        <f t="shared" si="6"/>
        <v>7.4 - [Name of sub-vote]</v>
      </c>
      <c r="E72" s="2336"/>
    </row>
    <row r="73" spans="2:5" x14ac:dyDescent="0.2">
      <c r="B73" s="2236">
        <v>7.5</v>
      </c>
      <c r="C73" s="2230" t="s">
        <v>1994</v>
      </c>
      <c r="D73" s="2234" t="str">
        <f t="shared" si="6"/>
        <v>7.5 - [Name of sub-vote]</v>
      </c>
      <c r="E73" s="2336"/>
    </row>
    <row r="74" spans="2:5" x14ac:dyDescent="0.2">
      <c r="B74" s="2236">
        <v>7.6</v>
      </c>
      <c r="C74" s="2230" t="s">
        <v>1994</v>
      </c>
      <c r="D74" s="2234" t="str">
        <f t="shared" si="6"/>
        <v>7.6 - [Name of sub-vote]</v>
      </c>
      <c r="E74" s="2336"/>
    </row>
    <row r="75" spans="2:5" x14ac:dyDescent="0.2">
      <c r="B75" s="2236">
        <v>7.7</v>
      </c>
      <c r="C75" s="2230" t="s">
        <v>1994</v>
      </c>
      <c r="D75" s="2234" t="str">
        <f t="shared" si="6"/>
        <v>7.7 - [Name of sub-vote]</v>
      </c>
      <c r="E75" s="2336"/>
    </row>
    <row r="76" spans="2:5" x14ac:dyDescent="0.2">
      <c r="B76" s="2236">
        <v>7.8</v>
      </c>
      <c r="C76" s="2230" t="s">
        <v>1994</v>
      </c>
      <c r="D76" s="2234" t="str">
        <f t="shared" si="6"/>
        <v>7.8 - [Name of sub-vote]</v>
      </c>
      <c r="E76" s="2336"/>
    </row>
    <row r="77" spans="2:5" x14ac:dyDescent="0.2">
      <c r="B77" s="2236">
        <v>7.9</v>
      </c>
      <c r="C77" s="2230" t="s">
        <v>1994</v>
      </c>
      <c r="D77" s="2234" t="str">
        <f t="shared" si="6"/>
        <v>7.9 - [Name of sub-vote]</v>
      </c>
      <c r="E77" s="2336"/>
    </row>
    <row r="78" spans="2:5" x14ac:dyDescent="0.2">
      <c r="B78" s="2236" t="s">
        <v>2001</v>
      </c>
      <c r="C78" s="2230" t="s">
        <v>1994</v>
      </c>
      <c r="D78" s="2234" t="str">
        <f t="shared" si="6"/>
        <v>7.10 - [Name of sub-vote]</v>
      </c>
      <c r="E78" s="2336"/>
    </row>
    <row r="79" spans="2:5" x14ac:dyDescent="0.2">
      <c r="B79" s="2237" t="s">
        <v>1971</v>
      </c>
      <c r="C79" s="2229" t="s">
        <v>2015</v>
      </c>
      <c r="E79" s="2336"/>
    </row>
    <row r="80" spans="2:5" x14ac:dyDescent="0.2">
      <c r="B80" s="2236">
        <v>8.1</v>
      </c>
      <c r="C80" s="2230" t="s">
        <v>1994</v>
      </c>
      <c r="D80" s="2234" t="str">
        <f t="shared" ref="D80:D89" si="7">CONCATENATE(B80, " - ", C80)</f>
        <v>8.1 - [Name of sub-vote]</v>
      </c>
      <c r="E80" s="2336" t="s">
        <v>2026</v>
      </c>
    </row>
    <row r="81" spans="2:5" x14ac:dyDescent="0.2">
      <c r="B81" s="2236">
        <v>8.1999999999999993</v>
      </c>
      <c r="C81" s="2230" t="s">
        <v>1994</v>
      </c>
      <c r="D81" s="2234" t="str">
        <f t="shared" si="7"/>
        <v>8.2 - [Name of sub-vote]</v>
      </c>
      <c r="E81" s="2336"/>
    </row>
    <row r="82" spans="2:5" x14ac:dyDescent="0.2">
      <c r="B82" s="2236">
        <v>8.3000000000000007</v>
      </c>
      <c r="C82" s="2230" t="s">
        <v>1994</v>
      </c>
      <c r="D82" s="2234" t="str">
        <f t="shared" si="7"/>
        <v>8.3 - [Name of sub-vote]</v>
      </c>
      <c r="E82" s="2336"/>
    </row>
    <row r="83" spans="2:5" x14ac:dyDescent="0.2">
      <c r="B83" s="2236">
        <v>8.4</v>
      </c>
      <c r="C83" s="2230" t="s">
        <v>1994</v>
      </c>
      <c r="D83" s="2234" t="str">
        <f t="shared" si="7"/>
        <v>8.4 - [Name of sub-vote]</v>
      </c>
      <c r="E83" s="2336"/>
    </row>
    <row r="84" spans="2:5" x14ac:dyDescent="0.2">
      <c r="B84" s="2236">
        <v>8.5</v>
      </c>
      <c r="C84" s="2230" t="s">
        <v>1994</v>
      </c>
      <c r="D84" s="2234" t="str">
        <f t="shared" si="7"/>
        <v>8.5 - [Name of sub-vote]</v>
      </c>
      <c r="E84" s="2336"/>
    </row>
    <row r="85" spans="2:5" x14ac:dyDescent="0.2">
      <c r="B85" s="2236">
        <v>8.6</v>
      </c>
      <c r="C85" s="2230" t="s">
        <v>1994</v>
      </c>
      <c r="D85" s="2234" t="str">
        <f t="shared" si="7"/>
        <v>8.6 - [Name of sub-vote]</v>
      </c>
      <c r="E85" s="2336"/>
    </row>
    <row r="86" spans="2:5" x14ac:dyDescent="0.2">
      <c r="B86" s="2236">
        <v>8.6999999999999993</v>
      </c>
      <c r="C86" s="2230" t="s">
        <v>1994</v>
      </c>
      <c r="D86" s="2234" t="str">
        <f t="shared" si="7"/>
        <v>8.7 - [Name of sub-vote]</v>
      </c>
      <c r="E86" s="2336"/>
    </row>
    <row r="87" spans="2:5" x14ac:dyDescent="0.2">
      <c r="B87" s="2236">
        <v>8.8000000000000007</v>
      </c>
      <c r="C87" s="2230" t="s">
        <v>1994</v>
      </c>
      <c r="D87" s="2234" t="str">
        <f t="shared" si="7"/>
        <v>8.8 - [Name of sub-vote]</v>
      </c>
      <c r="E87" s="2336"/>
    </row>
    <row r="88" spans="2:5" x14ac:dyDescent="0.2">
      <c r="B88" s="2236">
        <v>8.9</v>
      </c>
      <c r="C88" s="2230" t="s">
        <v>1994</v>
      </c>
      <c r="D88" s="2234" t="str">
        <f t="shared" si="7"/>
        <v>8.9 - [Name of sub-vote]</v>
      </c>
      <c r="E88" s="2336"/>
    </row>
    <row r="89" spans="2:5" x14ac:dyDescent="0.2">
      <c r="B89" s="2236" t="s">
        <v>2002</v>
      </c>
      <c r="C89" s="2230" t="s">
        <v>1994</v>
      </c>
      <c r="D89" s="2234" t="str">
        <f t="shared" si="7"/>
        <v>8.10 - [Name of sub-vote]</v>
      </c>
      <c r="E89" s="2336"/>
    </row>
    <row r="90" spans="2:5" x14ac:dyDescent="0.2">
      <c r="B90" s="2237" t="s">
        <v>1972</v>
      </c>
      <c r="C90" s="2229" t="s">
        <v>2016</v>
      </c>
      <c r="E90" s="2336"/>
    </row>
    <row r="91" spans="2:5" x14ac:dyDescent="0.2">
      <c r="B91" s="2236">
        <v>9.1</v>
      </c>
      <c r="C91" s="2230" t="s">
        <v>1994</v>
      </c>
      <c r="D91" s="2234" t="str">
        <f t="shared" ref="D91:D100" si="8">CONCATENATE(B91, " - ", C91)</f>
        <v>9.1 - [Name of sub-vote]</v>
      </c>
      <c r="E91" s="2336" t="s">
        <v>2027</v>
      </c>
    </row>
    <row r="92" spans="2:5" x14ac:dyDescent="0.2">
      <c r="B92" s="2236">
        <v>9.1999999999999993</v>
      </c>
      <c r="C92" s="2230" t="s">
        <v>1994</v>
      </c>
      <c r="D92" s="2234" t="str">
        <f t="shared" si="8"/>
        <v>9.2 - [Name of sub-vote]</v>
      </c>
      <c r="E92" s="2336"/>
    </row>
    <row r="93" spans="2:5" x14ac:dyDescent="0.2">
      <c r="B93" s="2236">
        <v>9.3000000000000007</v>
      </c>
      <c r="C93" s="2230" t="s">
        <v>1994</v>
      </c>
      <c r="D93" s="2234" t="str">
        <f t="shared" si="8"/>
        <v>9.3 - [Name of sub-vote]</v>
      </c>
      <c r="E93" s="2336"/>
    </row>
    <row r="94" spans="2:5" x14ac:dyDescent="0.2">
      <c r="B94" s="2236">
        <v>9.4</v>
      </c>
      <c r="C94" s="2230" t="s">
        <v>1994</v>
      </c>
      <c r="D94" s="2234" t="str">
        <f t="shared" si="8"/>
        <v>9.4 - [Name of sub-vote]</v>
      </c>
      <c r="E94" s="2336"/>
    </row>
    <row r="95" spans="2:5" x14ac:dyDescent="0.2">
      <c r="B95" s="2236">
        <v>9.5</v>
      </c>
      <c r="C95" s="2230" t="s">
        <v>1994</v>
      </c>
      <c r="D95" s="2234" t="str">
        <f t="shared" si="8"/>
        <v>9.5 - [Name of sub-vote]</v>
      </c>
      <c r="E95" s="2336"/>
    </row>
    <row r="96" spans="2:5" x14ac:dyDescent="0.2">
      <c r="B96" s="2236">
        <v>9.6</v>
      </c>
      <c r="C96" s="2230" t="s">
        <v>1994</v>
      </c>
      <c r="D96" s="2234" t="str">
        <f t="shared" si="8"/>
        <v>9.6 - [Name of sub-vote]</v>
      </c>
      <c r="E96" s="2336"/>
    </row>
    <row r="97" spans="2:5" x14ac:dyDescent="0.2">
      <c r="B97" s="2236">
        <v>9.6999999999999993</v>
      </c>
      <c r="C97" s="2230" t="s">
        <v>1994</v>
      </c>
      <c r="D97" s="2234" t="str">
        <f t="shared" si="8"/>
        <v>9.7 - [Name of sub-vote]</v>
      </c>
      <c r="E97" s="2336"/>
    </row>
    <row r="98" spans="2:5" x14ac:dyDescent="0.2">
      <c r="B98" s="2236">
        <v>9.8000000000000007</v>
      </c>
      <c r="C98" s="2230" t="s">
        <v>1994</v>
      </c>
      <c r="D98" s="2234" t="str">
        <f t="shared" si="8"/>
        <v>9.8 - [Name of sub-vote]</v>
      </c>
      <c r="E98" s="2336"/>
    </row>
    <row r="99" spans="2:5" x14ac:dyDescent="0.2">
      <c r="B99" s="2236">
        <v>9.9</v>
      </c>
      <c r="C99" s="2230" t="s">
        <v>1994</v>
      </c>
      <c r="D99" s="2234" t="str">
        <f t="shared" si="8"/>
        <v>9.9 - [Name of sub-vote]</v>
      </c>
      <c r="E99" s="2336"/>
    </row>
    <row r="100" spans="2:5" x14ac:dyDescent="0.2">
      <c r="B100" s="2236" t="s">
        <v>2003</v>
      </c>
      <c r="C100" s="2230" t="s">
        <v>1994</v>
      </c>
      <c r="D100" s="2234" t="str">
        <f t="shared" si="8"/>
        <v>9.10 - [Name of sub-vote]</v>
      </c>
      <c r="E100" s="2336"/>
    </row>
    <row r="101" spans="2:5" x14ac:dyDescent="0.2">
      <c r="B101" s="2237" t="s">
        <v>1973</v>
      </c>
      <c r="C101" s="2229" t="s">
        <v>2017</v>
      </c>
      <c r="E101" s="2336"/>
    </row>
    <row r="102" spans="2:5" x14ac:dyDescent="0.2">
      <c r="B102" s="2236">
        <v>10.1</v>
      </c>
      <c r="C102" s="2230" t="s">
        <v>1994</v>
      </c>
      <c r="D102" s="2234" t="str">
        <f t="shared" ref="D102:D111" si="9">CONCATENATE(B102, " - ", C102)</f>
        <v>10.1 - [Name of sub-vote]</v>
      </c>
      <c r="E102" s="2336" t="s">
        <v>2028</v>
      </c>
    </row>
    <row r="103" spans="2:5" x14ac:dyDescent="0.2">
      <c r="B103" s="2236">
        <v>10.199999999999999</v>
      </c>
      <c r="C103" s="2230" t="s">
        <v>1994</v>
      </c>
      <c r="D103" s="2234" t="str">
        <f t="shared" si="9"/>
        <v>10.2 - [Name of sub-vote]</v>
      </c>
      <c r="E103" s="2336"/>
    </row>
    <row r="104" spans="2:5" x14ac:dyDescent="0.2">
      <c r="B104" s="2236">
        <v>10.3</v>
      </c>
      <c r="C104" s="2230" t="s">
        <v>1994</v>
      </c>
      <c r="D104" s="2234" t="str">
        <f t="shared" si="9"/>
        <v>10.3 - [Name of sub-vote]</v>
      </c>
      <c r="E104" s="2336"/>
    </row>
    <row r="105" spans="2:5" x14ac:dyDescent="0.2">
      <c r="B105" s="2236">
        <v>10.4</v>
      </c>
      <c r="C105" s="2230" t="s">
        <v>1994</v>
      </c>
      <c r="D105" s="2234" t="str">
        <f t="shared" si="9"/>
        <v>10.4 - [Name of sub-vote]</v>
      </c>
      <c r="E105" s="2336"/>
    </row>
    <row r="106" spans="2:5" x14ac:dyDescent="0.2">
      <c r="B106" s="2236">
        <v>10.5</v>
      </c>
      <c r="C106" s="2230" t="s">
        <v>1994</v>
      </c>
      <c r="D106" s="2234" t="str">
        <f t="shared" si="9"/>
        <v>10.5 - [Name of sub-vote]</v>
      </c>
      <c r="E106" s="2336"/>
    </row>
    <row r="107" spans="2:5" x14ac:dyDescent="0.2">
      <c r="B107" s="2236">
        <v>10.6</v>
      </c>
      <c r="C107" s="2230" t="s">
        <v>1994</v>
      </c>
      <c r="D107" s="2234" t="str">
        <f t="shared" si="9"/>
        <v>10.6 - [Name of sub-vote]</v>
      </c>
      <c r="E107" s="2336"/>
    </row>
    <row r="108" spans="2:5" x14ac:dyDescent="0.2">
      <c r="B108" s="2236">
        <v>10.7</v>
      </c>
      <c r="C108" s="2230" t="s">
        <v>1994</v>
      </c>
      <c r="D108" s="2234" t="str">
        <f t="shared" si="9"/>
        <v>10.7 - [Name of sub-vote]</v>
      </c>
      <c r="E108" s="2336"/>
    </row>
    <row r="109" spans="2:5" x14ac:dyDescent="0.2">
      <c r="B109" s="2236">
        <v>10.8</v>
      </c>
      <c r="C109" s="2230" t="s">
        <v>1994</v>
      </c>
      <c r="D109" s="2234" t="str">
        <f t="shared" si="9"/>
        <v>10.8 - [Name of sub-vote]</v>
      </c>
      <c r="E109" s="2336"/>
    </row>
    <row r="110" spans="2:5" x14ac:dyDescent="0.2">
      <c r="B110" s="2236">
        <v>10.9</v>
      </c>
      <c r="C110" s="2230" t="s">
        <v>1994</v>
      </c>
      <c r="D110" s="2234" t="str">
        <f t="shared" si="9"/>
        <v>10.9 - [Name of sub-vote]</v>
      </c>
      <c r="E110" s="2336"/>
    </row>
    <row r="111" spans="2:5" x14ac:dyDescent="0.2">
      <c r="B111" s="2236" t="s">
        <v>2004</v>
      </c>
      <c r="C111" s="2230" t="s">
        <v>1994</v>
      </c>
      <c r="D111" s="2234" t="str">
        <f t="shared" si="9"/>
        <v>10.10 - [Name of sub-vote]</v>
      </c>
      <c r="E111" s="2336"/>
    </row>
    <row r="112" spans="2:5" x14ac:dyDescent="0.2">
      <c r="B112" s="2237" t="s">
        <v>1974</v>
      </c>
      <c r="C112" s="2229" t="s">
        <v>2018</v>
      </c>
      <c r="E112" s="2336"/>
    </row>
    <row r="113" spans="2:5" x14ac:dyDescent="0.2">
      <c r="B113" s="2236">
        <v>11.1</v>
      </c>
      <c r="C113" s="2230" t="s">
        <v>1994</v>
      </c>
      <c r="D113" s="2234" t="str">
        <f t="shared" ref="D113:D122" si="10">CONCATENATE(B113, " - ", C113)</f>
        <v>11.1 - [Name of sub-vote]</v>
      </c>
      <c r="E113" s="2336" t="s">
        <v>2029</v>
      </c>
    </row>
    <row r="114" spans="2:5" x14ac:dyDescent="0.2">
      <c r="B114" s="2236">
        <v>11.2</v>
      </c>
      <c r="C114" s="2230" t="s">
        <v>1994</v>
      </c>
      <c r="D114" s="2234" t="str">
        <f t="shared" si="10"/>
        <v>11.2 - [Name of sub-vote]</v>
      </c>
      <c r="E114" s="2336"/>
    </row>
    <row r="115" spans="2:5" x14ac:dyDescent="0.2">
      <c r="B115" s="2236">
        <v>11.3</v>
      </c>
      <c r="C115" s="2230" t="s">
        <v>1994</v>
      </c>
      <c r="D115" s="2234" t="str">
        <f t="shared" si="10"/>
        <v>11.3 - [Name of sub-vote]</v>
      </c>
      <c r="E115" s="2336"/>
    </row>
    <row r="116" spans="2:5" x14ac:dyDescent="0.2">
      <c r="B116" s="2236">
        <v>11.4</v>
      </c>
      <c r="C116" s="2230" t="s">
        <v>1994</v>
      </c>
      <c r="D116" s="2234" t="str">
        <f t="shared" si="10"/>
        <v>11.4 - [Name of sub-vote]</v>
      </c>
      <c r="E116" s="2336"/>
    </row>
    <row r="117" spans="2:5" x14ac:dyDescent="0.2">
      <c r="B117" s="2236">
        <v>11.5</v>
      </c>
      <c r="C117" s="2230" t="s">
        <v>1994</v>
      </c>
      <c r="D117" s="2234" t="str">
        <f t="shared" si="10"/>
        <v>11.5 - [Name of sub-vote]</v>
      </c>
      <c r="E117" s="2336"/>
    </row>
    <row r="118" spans="2:5" x14ac:dyDescent="0.2">
      <c r="B118" s="2236">
        <v>11.6</v>
      </c>
      <c r="C118" s="2230" t="s">
        <v>1994</v>
      </c>
      <c r="D118" s="2234" t="str">
        <f t="shared" si="10"/>
        <v>11.6 - [Name of sub-vote]</v>
      </c>
      <c r="E118" s="2336"/>
    </row>
    <row r="119" spans="2:5" x14ac:dyDescent="0.2">
      <c r="B119" s="2236">
        <v>11.7</v>
      </c>
      <c r="C119" s="2230" t="s">
        <v>1994</v>
      </c>
      <c r="D119" s="2234" t="str">
        <f t="shared" si="10"/>
        <v>11.7 - [Name of sub-vote]</v>
      </c>
      <c r="E119" s="2336"/>
    </row>
    <row r="120" spans="2:5" x14ac:dyDescent="0.2">
      <c r="B120" s="2236">
        <v>11.8</v>
      </c>
      <c r="C120" s="2230" t="s">
        <v>1994</v>
      </c>
      <c r="D120" s="2234" t="str">
        <f t="shared" si="10"/>
        <v>11.8 - [Name of sub-vote]</v>
      </c>
      <c r="E120" s="2336"/>
    </row>
    <row r="121" spans="2:5" x14ac:dyDescent="0.2">
      <c r="B121" s="2236">
        <v>11.9</v>
      </c>
      <c r="C121" s="2230" t="s">
        <v>1994</v>
      </c>
      <c r="D121" s="2234" t="str">
        <f t="shared" si="10"/>
        <v>11.9 - [Name of sub-vote]</v>
      </c>
      <c r="E121" s="2336"/>
    </row>
    <row r="122" spans="2:5" x14ac:dyDescent="0.2">
      <c r="B122" s="2236" t="s">
        <v>2005</v>
      </c>
      <c r="C122" s="2230" t="s">
        <v>1994</v>
      </c>
      <c r="D122" s="2234" t="str">
        <f t="shared" si="10"/>
        <v>11.10 - [Name of sub-vote]</v>
      </c>
      <c r="E122" s="2336"/>
    </row>
    <row r="123" spans="2:5" x14ac:dyDescent="0.2">
      <c r="B123" s="2237" t="s">
        <v>1975</v>
      </c>
      <c r="C123" s="2229" t="s">
        <v>2019</v>
      </c>
      <c r="E123" s="2336"/>
    </row>
    <row r="124" spans="2:5" x14ac:dyDescent="0.2">
      <c r="B124" s="2236">
        <v>12.1</v>
      </c>
      <c r="C124" s="2230" t="s">
        <v>1994</v>
      </c>
      <c r="D124" s="2234" t="str">
        <f t="shared" ref="D124:D133" si="11">CONCATENATE(B124, " - ", C124)</f>
        <v>12.1 - [Name of sub-vote]</v>
      </c>
      <c r="E124" s="2336" t="s">
        <v>2030</v>
      </c>
    </row>
    <row r="125" spans="2:5" x14ac:dyDescent="0.2">
      <c r="B125" s="2236">
        <v>12.2</v>
      </c>
      <c r="C125" s="2230" t="s">
        <v>1994</v>
      </c>
      <c r="D125" s="2234" t="str">
        <f t="shared" si="11"/>
        <v>12.2 - [Name of sub-vote]</v>
      </c>
      <c r="E125" s="2336"/>
    </row>
    <row r="126" spans="2:5" x14ac:dyDescent="0.2">
      <c r="B126" s="2236">
        <v>12.3</v>
      </c>
      <c r="C126" s="2230" t="s">
        <v>1994</v>
      </c>
      <c r="D126" s="2234" t="str">
        <f t="shared" si="11"/>
        <v>12.3 - [Name of sub-vote]</v>
      </c>
      <c r="E126" s="2336"/>
    </row>
    <row r="127" spans="2:5" x14ac:dyDescent="0.2">
      <c r="B127" s="2236">
        <v>12.4</v>
      </c>
      <c r="C127" s="2230" t="s">
        <v>1994</v>
      </c>
      <c r="D127" s="2234" t="str">
        <f t="shared" si="11"/>
        <v>12.4 - [Name of sub-vote]</v>
      </c>
      <c r="E127" s="2336"/>
    </row>
    <row r="128" spans="2:5" x14ac:dyDescent="0.2">
      <c r="B128" s="2236">
        <v>12.5</v>
      </c>
      <c r="C128" s="2230" t="s">
        <v>1994</v>
      </c>
      <c r="D128" s="2234" t="str">
        <f t="shared" si="11"/>
        <v>12.5 - [Name of sub-vote]</v>
      </c>
      <c r="E128" s="2336"/>
    </row>
    <row r="129" spans="2:5" x14ac:dyDescent="0.2">
      <c r="B129" s="2236">
        <v>12.6</v>
      </c>
      <c r="C129" s="2230" t="s">
        <v>1994</v>
      </c>
      <c r="D129" s="2234" t="str">
        <f t="shared" si="11"/>
        <v>12.6 - [Name of sub-vote]</v>
      </c>
      <c r="E129" s="2336"/>
    </row>
    <row r="130" spans="2:5" x14ac:dyDescent="0.2">
      <c r="B130" s="2236">
        <v>12.7</v>
      </c>
      <c r="C130" s="2230" t="s">
        <v>1994</v>
      </c>
      <c r="D130" s="2234" t="str">
        <f t="shared" si="11"/>
        <v>12.7 - [Name of sub-vote]</v>
      </c>
      <c r="E130" s="2336"/>
    </row>
    <row r="131" spans="2:5" x14ac:dyDescent="0.2">
      <c r="B131" s="2236">
        <v>12.8</v>
      </c>
      <c r="C131" s="2230" t="s">
        <v>1994</v>
      </c>
      <c r="D131" s="2234" t="str">
        <f t="shared" si="11"/>
        <v>12.8 - [Name of sub-vote]</v>
      </c>
      <c r="E131" s="2336"/>
    </row>
    <row r="132" spans="2:5" x14ac:dyDescent="0.2">
      <c r="B132" s="2236">
        <v>12.9</v>
      </c>
      <c r="C132" s="2230" t="s">
        <v>1994</v>
      </c>
      <c r="D132" s="2234" t="str">
        <f t="shared" si="11"/>
        <v>12.9 - [Name of sub-vote]</v>
      </c>
      <c r="E132" s="2336"/>
    </row>
    <row r="133" spans="2:5" x14ac:dyDescent="0.2">
      <c r="B133" s="2236" t="s">
        <v>2006</v>
      </c>
      <c r="C133" s="2230" t="s">
        <v>1994</v>
      </c>
      <c r="D133" s="2234" t="str">
        <f t="shared" si="11"/>
        <v>12.10 - [Name of sub-vote]</v>
      </c>
      <c r="E133" s="2336"/>
    </row>
    <row r="134" spans="2:5" x14ac:dyDescent="0.2">
      <c r="B134" s="2237" t="s">
        <v>1976</v>
      </c>
      <c r="C134" s="2229" t="s">
        <v>2020</v>
      </c>
      <c r="E134" s="2336"/>
    </row>
    <row r="135" spans="2:5" x14ac:dyDescent="0.2">
      <c r="B135" s="2236">
        <v>13.1</v>
      </c>
      <c r="C135" s="2230" t="s">
        <v>1994</v>
      </c>
      <c r="D135" s="2234" t="str">
        <f t="shared" ref="D135:D144" si="12">CONCATENATE(B135, " - ", C135)</f>
        <v>13.1 - [Name of sub-vote]</v>
      </c>
      <c r="E135" s="2336" t="s">
        <v>2031</v>
      </c>
    </row>
    <row r="136" spans="2:5" x14ac:dyDescent="0.2">
      <c r="B136" s="2236">
        <v>13.2</v>
      </c>
      <c r="C136" s="2230" t="s">
        <v>1994</v>
      </c>
      <c r="D136" s="2234" t="str">
        <f t="shared" si="12"/>
        <v>13.2 - [Name of sub-vote]</v>
      </c>
      <c r="E136" s="2336"/>
    </row>
    <row r="137" spans="2:5" x14ac:dyDescent="0.2">
      <c r="B137" s="2236">
        <v>13.3</v>
      </c>
      <c r="C137" s="2230" t="s">
        <v>1994</v>
      </c>
      <c r="D137" s="2234" t="str">
        <f t="shared" si="12"/>
        <v>13.3 - [Name of sub-vote]</v>
      </c>
      <c r="E137" s="2336"/>
    </row>
    <row r="138" spans="2:5" x14ac:dyDescent="0.2">
      <c r="B138" s="2236">
        <v>13.4</v>
      </c>
      <c r="C138" s="2230" t="s">
        <v>1994</v>
      </c>
      <c r="D138" s="2234" t="str">
        <f t="shared" si="12"/>
        <v>13.4 - [Name of sub-vote]</v>
      </c>
      <c r="E138" s="2336"/>
    </row>
    <row r="139" spans="2:5" x14ac:dyDescent="0.2">
      <c r="B139" s="2236">
        <v>13.5</v>
      </c>
      <c r="C139" s="2230" t="s">
        <v>1994</v>
      </c>
      <c r="D139" s="2234" t="str">
        <f t="shared" si="12"/>
        <v>13.5 - [Name of sub-vote]</v>
      </c>
      <c r="E139" s="2336"/>
    </row>
    <row r="140" spans="2:5" x14ac:dyDescent="0.2">
      <c r="B140" s="2236">
        <v>13.6</v>
      </c>
      <c r="C140" s="2230" t="s">
        <v>1994</v>
      </c>
      <c r="D140" s="2234" t="str">
        <f t="shared" si="12"/>
        <v>13.6 - [Name of sub-vote]</v>
      </c>
      <c r="E140" s="2336"/>
    </row>
    <row r="141" spans="2:5" x14ac:dyDescent="0.2">
      <c r="B141" s="2236">
        <v>13.7</v>
      </c>
      <c r="C141" s="2230" t="s">
        <v>1994</v>
      </c>
      <c r="D141" s="2234" t="str">
        <f t="shared" si="12"/>
        <v>13.7 - [Name of sub-vote]</v>
      </c>
      <c r="E141" s="2336"/>
    </row>
    <row r="142" spans="2:5" x14ac:dyDescent="0.2">
      <c r="B142" s="2236">
        <v>13.8</v>
      </c>
      <c r="C142" s="2230" t="s">
        <v>1994</v>
      </c>
      <c r="D142" s="2234" t="str">
        <f t="shared" si="12"/>
        <v>13.8 - [Name of sub-vote]</v>
      </c>
      <c r="E142" s="2336"/>
    </row>
    <row r="143" spans="2:5" x14ac:dyDescent="0.2">
      <c r="B143" s="2236">
        <v>13.9</v>
      </c>
      <c r="C143" s="2230" t="s">
        <v>1994</v>
      </c>
      <c r="D143" s="2234" t="str">
        <f t="shared" si="12"/>
        <v>13.9 - [Name of sub-vote]</v>
      </c>
      <c r="E143" s="2336"/>
    </row>
    <row r="144" spans="2:5" x14ac:dyDescent="0.2">
      <c r="B144" s="2236" t="s">
        <v>2007</v>
      </c>
      <c r="C144" s="2230" t="s">
        <v>1994</v>
      </c>
      <c r="D144" s="2234" t="str">
        <f t="shared" si="12"/>
        <v>13.10 - [Name of sub-vote]</v>
      </c>
      <c r="E144" s="2336"/>
    </row>
    <row r="145" spans="2:5" x14ac:dyDescent="0.2">
      <c r="B145" s="2237" t="s">
        <v>1977</v>
      </c>
      <c r="C145" s="2229" t="s">
        <v>2021</v>
      </c>
      <c r="E145" s="2336"/>
    </row>
    <row r="146" spans="2:5" x14ac:dyDescent="0.2">
      <c r="B146" s="2236">
        <v>14.1</v>
      </c>
      <c r="C146" s="2230" t="s">
        <v>1994</v>
      </c>
      <c r="D146" s="2234" t="str">
        <f t="shared" ref="D146:D155" si="13">CONCATENATE(B146, " - ", C146)</f>
        <v>14.1 - [Name of sub-vote]</v>
      </c>
      <c r="E146" s="2336" t="s">
        <v>2032</v>
      </c>
    </row>
    <row r="147" spans="2:5" x14ac:dyDescent="0.2">
      <c r="B147" s="2236">
        <v>14.2</v>
      </c>
      <c r="C147" s="2230" t="s">
        <v>1994</v>
      </c>
      <c r="D147" s="2234" t="str">
        <f t="shared" si="13"/>
        <v>14.2 - [Name of sub-vote]</v>
      </c>
      <c r="E147" s="2336"/>
    </row>
    <row r="148" spans="2:5" x14ac:dyDescent="0.2">
      <c r="B148" s="2236">
        <v>14.3</v>
      </c>
      <c r="C148" s="2230" t="s">
        <v>1994</v>
      </c>
      <c r="D148" s="2234" t="str">
        <f t="shared" si="13"/>
        <v>14.3 - [Name of sub-vote]</v>
      </c>
      <c r="E148" s="2336"/>
    </row>
    <row r="149" spans="2:5" x14ac:dyDescent="0.2">
      <c r="B149" s="2236">
        <v>14.4</v>
      </c>
      <c r="C149" s="2230" t="s">
        <v>1994</v>
      </c>
      <c r="D149" s="2234" t="str">
        <f t="shared" si="13"/>
        <v>14.4 - [Name of sub-vote]</v>
      </c>
      <c r="E149" s="2336"/>
    </row>
    <row r="150" spans="2:5" x14ac:dyDescent="0.2">
      <c r="B150" s="2236">
        <v>14.5</v>
      </c>
      <c r="C150" s="2230" t="s">
        <v>1994</v>
      </c>
      <c r="D150" s="2234" t="str">
        <f t="shared" si="13"/>
        <v>14.5 - [Name of sub-vote]</v>
      </c>
      <c r="E150" s="2336"/>
    </row>
    <row r="151" spans="2:5" x14ac:dyDescent="0.2">
      <c r="B151" s="2236">
        <v>14.6</v>
      </c>
      <c r="C151" s="2230" t="s">
        <v>1994</v>
      </c>
      <c r="D151" s="2234" t="str">
        <f t="shared" si="13"/>
        <v>14.6 - [Name of sub-vote]</v>
      </c>
      <c r="E151" s="2336"/>
    </row>
    <row r="152" spans="2:5" x14ac:dyDescent="0.2">
      <c r="B152" s="2236">
        <v>14.7</v>
      </c>
      <c r="C152" s="2230" t="s">
        <v>1994</v>
      </c>
      <c r="D152" s="2234" t="str">
        <f t="shared" si="13"/>
        <v>14.7 - [Name of sub-vote]</v>
      </c>
      <c r="E152" s="2336"/>
    </row>
    <row r="153" spans="2:5" x14ac:dyDescent="0.2">
      <c r="B153" s="2236">
        <v>14.8</v>
      </c>
      <c r="C153" s="2230" t="s">
        <v>1994</v>
      </c>
      <c r="D153" s="2234" t="str">
        <f t="shared" si="13"/>
        <v>14.8 - [Name of sub-vote]</v>
      </c>
      <c r="E153" s="2336"/>
    </row>
    <row r="154" spans="2:5" x14ac:dyDescent="0.2">
      <c r="B154" s="2236">
        <v>14.9</v>
      </c>
      <c r="C154" s="2230" t="s">
        <v>1994</v>
      </c>
      <c r="D154" s="2234" t="str">
        <f t="shared" si="13"/>
        <v>14.9 - [Name of sub-vote]</v>
      </c>
      <c r="E154" s="2336"/>
    </row>
    <row r="155" spans="2:5" x14ac:dyDescent="0.2">
      <c r="B155" s="2236" t="s">
        <v>2008</v>
      </c>
      <c r="C155" s="2230" t="s">
        <v>1994</v>
      </c>
      <c r="D155" s="2234" t="str">
        <f t="shared" si="13"/>
        <v>14.10 - [Name of sub-vote]</v>
      </c>
      <c r="E155" s="2336"/>
    </row>
    <row r="156" spans="2:5" x14ac:dyDescent="0.2">
      <c r="B156" s="2237" t="s">
        <v>1978</v>
      </c>
      <c r="C156" s="2229" t="s">
        <v>2022</v>
      </c>
      <c r="E156" s="2336"/>
    </row>
    <row r="157" spans="2:5" x14ac:dyDescent="0.2">
      <c r="B157" s="2236">
        <v>15.1</v>
      </c>
      <c r="C157" s="2230" t="s">
        <v>1994</v>
      </c>
      <c r="D157" s="2234" t="str">
        <f t="shared" ref="D157:D166" si="14">CONCATENATE(B157, " - ", C157)</f>
        <v>15.1 - [Name of sub-vote]</v>
      </c>
      <c r="E157" s="2336" t="s">
        <v>2033</v>
      </c>
    </row>
    <row r="158" spans="2:5" x14ac:dyDescent="0.2">
      <c r="B158" s="2236">
        <v>15.2</v>
      </c>
      <c r="C158" s="2230" t="s">
        <v>1994</v>
      </c>
      <c r="D158" s="2234" t="str">
        <f t="shared" si="14"/>
        <v>15.2 - [Name of sub-vote]</v>
      </c>
      <c r="E158" s="2336"/>
    </row>
    <row r="159" spans="2:5" x14ac:dyDescent="0.2">
      <c r="B159" s="2236">
        <v>15.3</v>
      </c>
      <c r="C159" s="2230" t="s">
        <v>1994</v>
      </c>
      <c r="D159" s="2234" t="str">
        <f t="shared" si="14"/>
        <v>15.3 - [Name of sub-vote]</v>
      </c>
      <c r="E159" s="2336"/>
    </row>
    <row r="160" spans="2:5" x14ac:dyDescent="0.2">
      <c r="B160" s="2236">
        <v>15.4</v>
      </c>
      <c r="C160" s="2230" t="s">
        <v>1994</v>
      </c>
      <c r="D160" s="2234" t="str">
        <f t="shared" si="14"/>
        <v>15.4 - [Name of sub-vote]</v>
      </c>
      <c r="E160" s="2336"/>
    </row>
    <row r="161" spans="2:5" x14ac:dyDescent="0.2">
      <c r="B161" s="2236">
        <v>15.5</v>
      </c>
      <c r="C161" s="2230" t="s">
        <v>1994</v>
      </c>
      <c r="D161" s="2234" t="str">
        <f t="shared" si="14"/>
        <v>15.5 - [Name of sub-vote]</v>
      </c>
      <c r="E161" s="2336"/>
    </row>
    <row r="162" spans="2:5" x14ac:dyDescent="0.2">
      <c r="B162" s="2236">
        <v>15.6</v>
      </c>
      <c r="C162" s="2230" t="s">
        <v>1994</v>
      </c>
      <c r="D162" s="2234" t="str">
        <f t="shared" si="14"/>
        <v>15.6 - [Name of sub-vote]</v>
      </c>
      <c r="E162" s="2336"/>
    </row>
    <row r="163" spans="2:5" x14ac:dyDescent="0.2">
      <c r="B163" s="2236">
        <v>15.7</v>
      </c>
      <c r="C163" s="2230" t="s">
        <v>1994</v>
      </c>
      <c r="D163" s="2234" t="str">
        <f t="shared" si="14"/>
        <v>15.7 - [Name of sub-vote]</v>
      </c>
      <c r="E163" s="2336"/>
    </row>
    <row r="164" spans="2:5" x14ac:dyDescent="0.2">
      <c r="B164" s="2236">
        <v>15.8</v>
      </c>
      <c r="C164" s="2230" t="s">
        <v>1994</v>
      </c>
      <c r="D164" s="2234" t="str">
        <f t="shared" si="14"/>
        <v>15.8 - [Name of sub-vote]</v>
      </c>
      <c r="E164" s="2336"/>
    </row>
    <row r="165" spans="2:5" x14ac:dyDescent="0.2">
      <c r="B165" s="2236">
        <v>15.9</v>
      </c>
      <c r="C165" s="2230" t="s">
        <v>1994</v>
      </c>
      <c r="D165" s="2234" t="str">
        <f t="shared" si="14"/>
        <v>15.9 - [Name of sub-vote]</v>
      </c>
      <c r="E165" s="2336"/>
    </row>
    <row r="166" spans="2:5" x14ac:dyDescent="0.2">
      <c r="B166" s="2236" t="s">
        <v>2009</v>
      </c>
      <c r="C166" s="2230" t="s">
        <v>1994</v>
      </c>
      <c r="D166" s="2234" t="str">
        <f t="shared" si="14"/>
        <v>15.10 - [Name of sub-vote]</v>
      </c>
      <c r="E166" s="2336"/>
    </row>
  </sheetData>
  <phoneticPr fontId="2"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74803149606299213" right="0.74803149606299213" top="0.98425196850393704" bottom="0.98425196850393704" header="0.51181102362204722" footer="0.51181102362204722"/>
  <pageSetup paperSize="9" scale="37" orientation="portrait" r:id="rId1"/>
  <headerFooter alignWithMargins="0"/>
  <ignoredErrors>
    <ignoredError sqref="B12 B23 B34 B45 B56 B67 B78 B89 B100 B111 B122 B133 B144 B155 B16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enableFormatConditionsCalculation="0">
    <tabColor indexed="42"/>
    <pageSetUpPr fitToPage="1"/>
  </sheetPr>
  <dimension ref="A1:T29"/>
  <sheetViews>
    <sheetView showGridLines="0" zoomScaleNormal="100" workbookViewId="0">
      <pane xSplit="2" ySplit="3" topLeftCell="D18" activePane="bottomRight" state="frozen"/>
      <selection pane="topRight"/>
      <selection pane="bottomLeft"/>
      <selection pane="bottomRight" activeCell="M17" sqref="M17"/>
    </sheetView>
  </sheetViews>
  <sheetFormatPr defaultColWidth="9.1796875" defaultRowHeight="10.5" x14ac:dyDescent="0.25"/>
  <cols>
    <col min="1" max="1" width="30.7265625" style="149" customWidth="1"/>
    <col min="2" max="2" width="3" style="149" customWidth="1"/>
    <col min="3" max="14" width="8.26953125" style="149" customWidth="1"/>
    <col min="15" max="17" width="9.26953125" style="149" customWidth="1"/>
    <col min="18" max="16384" width="9.1796875" style="149"/>
  </cols>
  <sheetData>
    <row r="1" spans="1:18" ht="13.5" customHeight="1" x14ac:dyDescent="0.3">
      <c r="A1" s="147" t="str">
        <f>muni&amp;" - "&amp; TableA29</f>
        <v>KZN225 Msunduzi - Supporting Table SA29 Consolidated budgeted monthly capital expenditure (standard classification)</v>
      </c>
      <c r="B1" s="147"/>
      <c r="C1" s="147"/>
      <c r="D1" s="147"/>
      <c r="E1" s="147"/>
      <c r="F1" s="147"/>
      <c r="G1" s="147"/>
      <c r="H1" s="147"/>
      <c r="I1" s="147"/>
      <c r="J1" s="147"/>
      <c r="K1" s="147"/>
      <c r="L1" s="147"/>
      <c r="M1" s="147"/>
      <c r="N1" s="147"/>
      <c r="O1" s="147"/>
      <c r="P1" s="147"/>
      <c r="Q1" s="147"/>
    </row>
    <row r="2" spans="1:18" ht="27" customHeight="1" x14ac:dyDescent="0.25">
      <c r="A2" s="985" t="str">
        <f>desc</f>
        <v>Description</v>
      </c>
      <c r="B2" s="997" t="str">
        <f>head27</f>
        <v>Ref</v>
      </c>
      <c r="C2" s="2677" t="str">
        <f>Head9</f>
        <v>Budget Year 2013/14</v>
      </c>
      <c r="D2" s="2678"/>
      <c r="E2" s="2678"/>
      <c r="F2" s="2678"/>
      <c r="G2" s="2678"/>
      <c r="H2" s="2678"/>
      <c r="I2" s="2678"/>
      <c r="J2" s="2678"/>
      <c r="K2" s="2678"/>
      <c r="L2" s="2678"/>
      <c r="M2" s="2678"/>
      <c r="N2" s="2678"/>
      <c r="O2" s="2674" t="s">
        <v>1790</v>
      </c>
      <c r="P2" s="2675"/>
      <c r="Q2" s="2676"/>
    </row>
    <row r="3" spans="1:18" ht="21" x14ac:dyDescent="0.25">
      <c r="A3" s="180" t="s">
        <v>665</v>
      </c>
      <c r="B3" s="998"/>
      <c r="C3" s="299" t="s">
        <v>723</v>
      </c>
      <c r="D3" s="928" t="s">
        <v>1400</v>
      </c>
      <c r="E3" s="928" t="s">
        <v>1401</v>
      </c>
      <c r="F3" s="928" t="s">
        <v>1402</v>
      </c>
      <c r="G3" s="928" t="s">
        <v>420</v>
      </c>
      <c r="H3" s="928" t="s">
        <v>421</v>
      </c>
      <c r="I3" s="928" t="s">
        <v>706</v>
      </c>
      <c r="J3" s="928" t="s">
        <v>422</v>
      </c>
      <c r="K3" s="928" t="s">
        <v>708</v>
      </c>
      <c r="L3" s="928" t="s">
        <v>709</v>
      </c>
      <c r="M3" s="928" t="s">
        <v>710</v>
      </c>
      <c r="N3" s="389" t="s">
        <v>711</v>
      </c>
      <c r="O3" s="299" t="str">
        <f>Head9</f>
        <v>Budget Year 2013/14</v>
      </c>
      <c r="P3" s="390" t="str">
        <f>Head10</f>
        <v>Budget Year +1 2014/15</v>
      </c>
      <c r="Q3" s="391" t="str">
        <f>Head11</f>
        <v>Budget Year +2 2015/16</v>
      </c>
    </row>
    <row r="4" spans="1:18" x14ac:dyDescent="0.25">
      <c r="A4" s="249" t="str">
        <f>'A5-Capex'!A42</f>
        <v>Capital Expenditure - Standard</v>
      </c>
      <c r="B4" s="994">
        <v>1</v>
      </c>
      <c r="C4" s="205"/>
      <c r="D4" s="203"/>
      <c r="E4" s="203"/>
      <c r="F4" s="203"/>
      <c r="G4" s="203"/>
      <c r="H4" s="203"/>
      <c r="I4" s="203"/>
      <c r="J4" s="203"/>
      <c r="K4" s="203"/>
      <c r="L4" s="203"/>
      <c r="M4" s="203"/>
      <c r="N4" s="202"/>
      <c r="O4" s="205"/>
      <c r="P4" s="203"/>
      <c r="Q4" s="204"/>
    </row>
    <row r="5" spans="1:18" x14ac:dyDescent="0.25">
      <c r="A5" s="1270" t="str">
        <f>'A5-Capex'!A43</f>
        <v>Governance and administration</v>
      </c>
      <c r="B5" s="864"/>
      <c r="C5" s="1132">
        <f>SUM(C6:C8)</f>
        <v>1390400</v>
      </c>
      <c r="D5" s="1130">
        <f>SUM(D6:D8)</f>
        <v>1738000</v>
      </c>
      <c r="E5" s="1130">
        <f t="shared" ref="E5:M5" si="0">SUM(E6:E8)</f>
        <v>3128400</v>
      </c>
      <c r="F5" s="1130">
        <f t="shared" si="0"/>
        <v>3823600</v>
      </c>
      <c r="G5" s="1130">
        <f t="shared" si="0"/>
        <v>4518800</v>
      </c>
      <c r="H5" s="1130">
        <f t="shared" si="0"/>
        <v>3476000</v>
      </c>
      <c r="I5" s="1130">
        <f t="shared" si="0"/>
        <v>1738000</v>
      </c>
      <c r="J5" s="1130">
        <f t="shared" si="0"/>
        <v>3128400</v>
      </c>
      <c r="K5" s="1130">
        <f t="shared" si="0"/>
        <v>4518800</v>
      </c>
      <c r="L5" s="1130">
        <f t="shared" si="0"/>
        <v>3823600</v>
      </c>
      <c r="M5" s="1130">
        <f t="shared" si="0"/>
        <v>2433200</v>
      </c>
      <c r="N5" s="217">
        <f>O5-SUM(C5:M5)</f>
        <v>-2957200</v>
      </c>
      <c r="O5" s="220">
        <f>'A5-Capex'!J43</f>
        <v>30760000</v>
      </c>
      <c r="P5" s="218">
        <f>'A5-Capex'!K43</f>
        <v>27000000</v>
      </c>
      <c r="Q5" s="345">
        <f>'A5-Capex'!L43</f>
        <v>25840000</v>
      </c>
      <c r="R5" s="370"/>
    </row>
    <row r="6" spans="1:18" x14ac:dyDescent="0.25">
      <c r="A6" s="1271" t="str">
        <f>'A5-Capex'!A44</f>
        <v>Executive and council</v>
      </c>
      <c r="B6" s="864"/>
      <c r="C6" s="1635">
        <v>0</v>
      </c>
      <c r="D6" s="1614">
        <v>0</v>
      </c>
      <c r="E6" s="1614">
        <v>0</v>
      </c>
      <c r="F6" s="1614">
        <v>0</v>
      </c>
      <c r="G6" s="1614">
        <v>0</v>
      </c>
      <c r="H6" s="1614">
        <v>0</v>
      </c>
      <c r="I6" s="1614">
        <v>0</v>
      </c>
      <c r="J6" s="1614">
        <v>0</v>
      </c>
      <c r="K6" s="1614">
        <v>0</v>
      </c>
      <c r="L6" s="1614">
        <v>0</v>
      </c>
      <c r="M6" s="1614">
        <v>0</v>
      </c>
      <c r="N6" s="202">
        <f t="shared" ref="N6:N24" si="1">O6-SUM(C6:M6)</f>
        <v>0</v>
      </c>
      <c r="O6" s="205">
        <f>'A5-Capex'!J44</f>
        <v>0</v>
      </c>
      <c r="P6" s="203">
        <f>'A5-Capex'!K44</f>
        <v>0</v>
      </c>
      <c r="Q6" s="264">
        <f>'A5-Capex'!L44</f>
        <v>0</v>
      </c>
      <c r="R6" s="370"/>
    </row>
    <row r="7" spans="1:18" x14ac:dyDescent="0.25">
      <c r="A7" s="1271" t="str">
        <f>'A5-Capex'!A45</f>
        <v>Budget and treasury office</v>
      </c>
      <c r="B7" s="864"/>
      <c r="C7" s="1639">
        <v>1390400</v>
      </c>
      <c r="D7" s="1639">
        <v>1738000</v>
      </c>
      <c r="E7" s="1639">
        <v>3128400</v>
      </c>
      <c r="F7" s="1639">
        <v>3823600</v>
      </c>
      <c r="G7" s="1639">
        <v>4518800</v>
      </c>
      <c r="H7" s="1639">
        <v>3476000</v>
      </c>
      <c r="I7" s="1639">
        <v>1738000</v>
      </c>
      <c r="J7" s="1639">
        <v>3128400</v>
      </c>
      <c r="K7" s="1639">
        <v>4518800</v>
      </c>
      <c r="L7" s="1639">
        <v>3823600</v>
      </c>
      <c r="M7" s="1639">
        <v>2433200</v>
      </c>
      <c r="N7" s="202">
        <f t="shared" si="1"/>
        <v>-2957200</v>
      </c>
      <c r="O7" s="205">
        <f>'A5-Capex'!J45</f>
        <v>30760000</v>
      </c>
      <c r="P7" s="203">
        <f>'A5-Capex'!K45</f>
        <v>27000000</v>
      </c>
      <c r="Q7" s="264">
        <f>'A5-Capex'!L45</f>
        <v>25840000</v>
      </c>
      <c r="R7" s="370"/>
    </row>
    <row r="8" spans="1:18" x14ac:dyDescent="0.25">
      <c r="A8" s="1271" t="str">
        <f>'A5-Capex'!A46</f>
        <v>Corporate services</v>
      </c>
      <c r="B8" s="864"/>
      <c r="C8" s="1635"/>
      <c r="D8" s="1614"/>
      <c r="E8" s="1614"/>
      <c r="F8" s="1614"/>
      <c r="G8" s="1614"/>
      <c r="H8" s="1614"/>
      <c r="I8" s="1614"/>
      <c r="J8" s="1614"/>
      <c r="K8" s="1614"/>
      <c r="L8" s="1614"/>
      <c r="M8" s="1614"/>
      <c r="N8" s="202">
        <f t="shared" si="1"/>
        <v>0</v>
      </c>
      <c r="O8" s="205">
        <f>'A5-Capex'!J46</f>
        <v>0</v>
      </c>
      <c r="P8" s="203">
        <f>'A5-Capex'!K46</f>
        <v>0</v>
      </c>
      <c r="Q8" s="264">
        <f>'A5-Capex'!L46</f>
        <v>0</v>
      </c>
      <c r="R8" s="370"/>
    </row>
    <row r="9" spans="1:18" x14ac:dyDescent="0.25">
      <c r="A9" s="1270" t="str">
        <f>'A5-Capex'!A47</f>
        <v>Community and public safety</v>
      </c>
      <c r="B9" s="864"/>
      <c r="C9" s="1132">
        <f>SUM(C10:C14)</f>
        <v>180000</v>
      </c>
      <c r="D9" s="1130">
        <f t="shared" ref="D9:M9" si="2">SUM(D10:D14)</f>
        <v>225000</v>
      </c>
      <c r="E9" s="1130">
        <f t="shared" si="2"/>
        <v>405000</v>
      </c>
      <c r="F9" s="1130">
        <f t="shared" si="2"/>
        <v>495000</v>
      </c>
      <c r="G9" s="1130">
        <f t="shared" si="2"/>
        <v>585000</v>
      </c>
      <c r="H9" s="1130">
        <f t="shared" si="2"/>
        <v>450000</v>
      </c>
      <c r="I9" s="1130">
        <f t="shared" si="2"/>
        <v>225000</v>
      </c>
      <c r="J9" s="1130">
        <f t="shared" si="2"/>
        <v>405000</v>
      </c>
      <c r="K9" s="1130">
        <f t="shared" si="2"/>
        <v>585000</v>
      </c>
      <c r="L9" s="1130">
        <f t="shared" si="2"/>
        <v>495000</v>
      </c>
      <c r="M9" s="1130">
        <f t="shared" si="2"/>
        <v>315000.00000000006</v>
      </c>
      <c r="N9" s="217">
        <f t="shared" si="1"/>
        <v>135000</v>
      </c>
      <c r="O9" s="220">
        <f>'A5-Capex'!J47</f>
        <v>4500000</v>
      </c>
      <c r="P9" s="218">
        <f>'A5-Capex'!K47</f>
        <v>2800000</v>
      </c>
      <c r="Q9" s="345">
        <f>'A5-Capex'!L47</f>
        <v>1200000</v>
      </c>
      <c r="R9" s="370"/>
    </row>
    <row r="10" spans="1:18" x14ac:dyDescent="0.25">
      <c r="A10" s="1271" t="str">
        <f>'A5-Capex'!A48</f>
        <v>Community and social services</v>
      </c>
      <c r="B10" s="864"/>
      <c r="C10" s="1635">
        <v>112000</v>
      </c>
      <c r="D10" s="1614">
        <v>140000</v>
      </c>
      <c r="E10" s="1614">
        <v>252000</v>
      </c>
      <c r="F10" s="1614">
        <v>308000</v>
      </c>
      <c r="G10" s="1614">
        <v>364000</v>
      </c>
      <c r="H10" s="1614">
        <v>280000</v>
      </c>
      <c r="I10" s="1614">
        <v>140000</v>
      </c>
      <c r="J10" s="1614">
        <v>252000</v>
      </c>
      <c r="K10" s="1614">
        <v>364000</v>
      </c>
      <c r="L10" s="1614">
        <v>308000</v>
      </c>
      <c r="M10" s="1614">
        <v>196000.00000000003</v>
      </c>
      <c r="N10" s="202">
        <f t="shared" si="1"/>
        <v>84000</v>
      </c>
      <c r="O10" s="205">
        <f>'A5-Capex'!J48</f>
        <v>2800000</v>
      </c>
      <c r="P10" s="203">
        <f>'A5-Capex'!K48</f>
        <v>2800000</v>
      </c>
      <c r="Q10" s="264">
        <f>'A5-Capex'!L48</f>
        <v>1200000</v>
      </c>
      <c r="R10" s="370"/>
    </row>
    <row r="11" spans="1:18" x14ac:dyDescent="0.25">
      <c r="A11" s="1271" t="str">
        <f>'A5-Capex'!A49</f>
        <v>Sport and recreation</v>
      </c>
      <c r="B11" s="864"/>
      <c r="C11" s="1635">
        <v>68000</v>
      </c>
      <c r="D11" s="1614">
        <v>85000</v>
      </c>
      <c r="E11" s="1614">
        <v>153000</v>
      </c>
      <c r="F11" s="1614">
        <v>187000</v>
      </c>
      <c r="G11" s="1614">
        <v>221000</v>
      </c>
      <c r="H11" s="1614">
        <v>170000</v>
      </c>
      <c r="I11" s="1614">
        <v>85000</v>
      </c>
      <c r="J11" s="1614">
        <v>153000</v>
      </c>
      <c r="K11" s="1614">
        <v>221000</v>
      </c>
      <c r="L11" s="1614">
        <v>187000</v>
      </c>
      <c r="M11" s="1614">
        <v>119000.00000000001</v>
      </c>
      <c r="N11" s="202">
        <f t="shared" si="1"/>
        <v>51000</v>
      </c>
      <c r="O11" s="205">
        <f>'A5-Capex'!J49</f>
        <v>1700000</v>
      </c>
      <c r="P11" s="203">
        <f>'A5-Capex'!K49</f>
        <v>0</v>
      </c>
      <c r="Q11" s="264">
        <f>'A5-Capex'!L49</f>
        <v>0</v>
      </c>
      <c r="R11" s="370"/>
    </row>
    <row r="12" spans="1:18" x14ac:dyDescent="0.25">
      <c r="A12" s="1271" t="str">
        <f>'A5-Capex'!A50</f>
        <v>Public safety</v>
      </c>
      <c r="B12" s="864"/>
      <c r="C12" s="1635">
        <v>0</v>
      </c>
      <c r="D12" s="1614">
        <v>0</v>
      </c>
      <c r="E12" s="1614">
        <v>0</v>
      </c>
      <c r="F12" s="1614">
        <v>0</v>
      </c>
      <c r="G12" s="1614">
        <v>0</v>
      </c>
      <c r="H12" s="1614">
        <v>0</v>
      </c>
      <c r="I12" s="1614">
        <v>0</v>
      </c>
      <c r="J12" s="1614">
        <v>0</v>
      </c>
      <c r="K12" s="1614">
        <v>0</v>
      </c>
      <c r="L12" s="1614">
        <v>0</v>
      </c>
      <c r="M12" s="1614">
        <v>0</v>
      </c>
      <c r="N12" s="202">
        <f t="shared" si="1"/>
        <v>0</v>
      </c>
      <c r="O12" s="205">
        <f>'A5-Capex'!J50</f>
        <v>0</v>
      </c>
      <c r="P12" s="203">
        <f>'A5-Capex'!K50</f>
        <v>0</v>
      </c>
      <c r="Q12" s="264">
        <f>'A5-Capex'!L50</f>
        <v>0</v>
      </c>
      <c r="R12" s="370"/>
    </row>
    <row r="13" spans="1:18" x14ac:dyDescent="0.25">
      <c r="A13" s="1271" t="str">
        <f>'A5-Capex'!A51</f>
        <v>Housing</v>
      </c>
      <c r="B13" s="864"/>
      <c r="C13" s="1639">
        <v>0</v>
      </c>
      <c r="D13" s="1639">
        <v>0</v>
      </c>
      <c r="E13" s="1639">
        <v>0</v>
      </c>
      <c r="F13" s="1639">
        <v>0</v>
      </c>
      <c r="G13" s="1639">
        <v>0</v>
      </c>
      <c r="H13" s="1639">
        <v>0</v>
      </c>
      <c r="I13" s="1639">
        <v>0</v>
      </c>
      <c r="J13" s="1639">
        <v>0</v>
      </c>
      <c r="K13" s="1639">
        <v>0</v>
      </c>
      <c r="L13" s="1639">
        <v>0</v>
      </c>
      <c r="M13" s="1639">
        <v>0</v>
      </c>
      <c r="N13" s="202">
        <f t="shared" si="1"/>
        <v>0</v>
      </c>
      <c r="O13" s="205">
        <f>'A5-Capex'!J51</f>
        <v>0</v>
      </c>
      <c r="P13" s="203">
        <f>'A5-Capex'!K51</f>
        <v>0</v>
      </c>
      <c r="Q13" s="264">
        <f>'A5-Capex'!L51</f>
        <v>0</v>
      </c>
      <c r="R13" s="370"/>
    </row>
    <row r="14" spans="1:18" x14ac:dyDescent="0.25">
      <c r="A14" s="1271" t="str">
        <f>'A5-Capex'!A52</f>
        <v>Health</v>
      </c>
      <c r="B14" s="864"/>
      <c r="C14" s="1635">
        <v>0</v>
      </c>
      <c r="D14" s="1614">
        <v>0</v>
      </c>
      <c r="E14" s="1614">
        <v>0</v>
      </c>
      <c r="F14" s="1614">
        <v>0</v>
      </c>
      <c r="G14" s="1614">
        <v>0</v>
      </c>
      <c r="H14" s="1614">
        <v>0</v>
      </c>
      <c r="I14" s="1614">
        <v>0</v>
      </c>
      <c r="J14" s="1614">
        <v>0</v>
      </c>
      <c r="K14" s="1614">
        <v>0</v>
      </c>
      <c r="L14" s="1614">
        <v>0</v>
      </c>
      <c r="M14" s="1614">
        <v>0</v>
      </c>
      <c r="N14" s="202">
        <f t="shared" si="1"/>
        <v>0</v>
      </c>
      <c r="O14" s="205">
        <f>'A5-Capex'!J52</f>
        <v>0</v>
      </c>
      <c r="P14" s="203">
        <f>'A5-Capex'!K52</f>
        <v>0</v>
      </c>
      <c r="Q14" s="264">
        <f>'A5-Capex'!L52</f>
        <v>0</v>
      </c>
      <c r="R14" s="370"/>
    </row>
    <row r="15" spans="1:18" x14ac:dyDescent="0.25">
      <c r="A15" s="1270" t="str">
        <f>'A5-Capex'!A53</f>
        <v>Economic and environmental services</v>
      </c>
      <c r="B15" s="864"/>
      <c r="C15" s="1132">
        <f>SUM(C16:C18)</f>
        <v>8301300</v>
      </c>
      <c r="D15" s="1130">
        <f t="shared" ref="D15:M15" si="3">SUM(D16:D18)</f>
        <v>8301300</v>
      </c>
      <c r="E15" s="1130">
        <f t="shared" si="3"/>
        <v>13282080</v>
      </c>
      <c r="F15" s="1130">
        <f t="shared" si="3"/>
        <v>16602600</v>
      </c>
      <c r="G15" s="1130">
        <f t="shared" si="3"/>
        <v>0</v>
      </c>
      <c r="H15" s="1130">
        <f t="shared" si="3"/>
        <v>332052</v>
      </c>
      <c r="I15" s="1130">
        <f t="shared" si="3"/>
        <v>24903900</v>
      </c>
      <c r="J15" s="1130">
        <f t="shared" si="3"/>
        <v>0</v>
      </c>
      <c r="K15" s="1130">
        <f t="shared" si="3"/>
        <v>33205200</v>
      </c>
      <c r="L15" s="1130">
        <f t="shared" si="3"/>
        <v>33205200</v>
      </c>
      <c r="M15" s="1130">
        <f t="shared" si="3"/>
        <v>17268500</v>
      </c>
      <c r="N15" s="217">
        <f t="shared" si="1"/>
        <v>27323868</v>
      </c>
      <c r="O15" s="220">
        <f>'A5-Capex'!J53</f>
        <v>182726000</v>
      </c>
      <c r="P15" s="218">
        <f>'A5-Capex'!K53</f>
        <v>64120000</v>
      </c>
      <c r="Q15" s="345">
        <f>'A5-Capex'!L53</f>
        <v>28400000</v>
      </c>
      <c r="R15" s="370"/>
    </row>
    <row r="16" spans="1:18" x14ac:dyDescent="0.25">
      <c r="A16" s="1271" t="str">
        <f>'A5-Capex'!A54</f>
        <v>Planning and development</v>
      </c>
      <c r="B16" s="864"/>
      <c r="C16" s="1635"/>
      <c r="D16" s="1614"/>
      <c r="E16" s="1614"/>
      <c r="F16" s="1614"/>
      <c r="G16" s="1614"/>
      <c r="H16" s="1614"/>
      <c r="I16" s="1614"/>
      <c r="J16" s="1614"/>
      <c r="K16" s="1614"/>
      <c r="L16" s="1614"/>
      <c r="M16" s="1614"/>
      <c r="N16" s="202">
        <f t="shared" si="1"/>
        <v>2700000</v>
      </c>
      <c r="O16" s="205">
        <f>'A5-Capex'!J54</f>
        <v>2700000</v>
      </c>
      <c r="P16" s="203">
        <f>'A5-Capex'!K54</f>
        <v>0</v>
      </c>
      <c r="Q16" s="264">
        <f>'A5-Capex'!L54</f>
        <v>0</v>
      </c>
      <c r="R16" s="370"/>
    </row>
    <row r="17" spans="1:20" x14ac:dyDescent="0.25">
      <c r="A17" s="1271" t="str">
        <f>'A5-Capex'!A55</f>
        <v>Road transport</v>
      </c>
      <c r="B17" s="864"/>
      <c r="C17" s="1639">
        <v>8301300</v>
      </c>
      <c r="D17" s="1639">
        <v>8301300</v>
      </c>
      <c r="E17" s="1639">
        <v>13282080</v>
      </c>
      <c r="F17" s="1639">
        <v>16602600</v>
      </c>
      <c r="G17" s="1639">
        <v>0</v>
      </c>
      <c r="H17" s="1639">
        <v>332052</v>
      </c>
      <c r="I17" s="1639">
        <v>24903900</v>
      </c>
      <c r="J17" s="1639">
        <v>0</v>
      </c>
      <c r="K17" s="1639">
        <v>33205200</v>
      </c>
      <c r="L17" s="1639">
        <v>33205200</v>
      </c>
      <c r="M17" s="1614">
        <f>17268500</f>
        <v>17268500</v>
      </c>
      <c r="N17" s="202">
        <f t="shared" si="1"/>
        <v>24623868</v>
      </c>
      <c r="O17" s="205">
        <f>'A5-Capex'!J55</f>
        <v>180026000</v>
      </c>
      <c r="P17" s="203">
        <f>'A5-Capex'!K55</f>
        <v>64120000</v>
      </c>
      <c r="Q17" s="264">
        <f>'A5-Capex'!L55</f>
        <v>28400000</v>
      </c>
      <c r="R17" s="370"/>
    </row>
    <row r="18" spans="1:20" x14ac:dyDescent="0.25">
      <c r="A18" s="1271" t="str">
        <f>'A5-Capex'!A56</f>
        <v>Environmental protection</v>
      </c>
      <c r="B18" s="864"/>
      <c r="C18" s="1635"/>
      <c r="D18" s="1614"/>
      <c r="E18" s="1614"/>
      <c r="F18" s="1614"/>
      <c r="G18" s="1614"/>
      <c r="H18" s="1614"/>
      <c r="I18" s="1614"/>
      <c r="J18" s="1614"/>
      <c r="K18" s="1614"/>
      <c r="L18" s="1614"/>
      <c r="M18" s="1614"/>
      <c r="N18" s="202">
        <f t="shared" si="1"/>
        <v>0</v>
      </c>
      <c r="O18" s="205">
        <f>'A5-Capex'!J56</f>
        <v>0</v>
      </c>
      <c r="P18" s="203">
        <f>'A5-Capex'!K56</f>
        <v>0</v>
      </c>
      <c r="Q18" s="264">
        <f>'A5-Capex'!L56</f>
        <v>0</v>
      </c>
      <c r="R18" s="370"/>
    </row>
    <row r="19" spans="1:20" x14ac:dyDescent="0.25">
      <c r="A19" s="1270" t="str">
        <f>'A5-Capex'!A57</f>
        <v>Trading services</v>
      </c>
      <c r="B19" s="864"/>
      <c r="C19" s="1132">
        <f>SUM(C20:C23)</f>
        <v>0</v>
      </c>
      <c r="D19" s="1130">
        <f t="shared" ref="D19:M19" si="4">SUM(D20:D23)</f>
        <v>0</v>
      </c>
      <c r="E19" s="1130">
        <f t="shared" si="4"/>
        <v>0</v>
      </c>
      <c r="F19" s="1130">
        <f t="shared" si="4"/>
        <v>0</v>
      </c>
      <c r="G19" s="1130">
        <f t="shared" si="4"/>
        <v>0</v>
      </c>
      <c r="H19" s="1130">
        <f t="shared" si="4"/>
        <v>0</v>
      </c>
      <c r="I19" s="1130">
        <f t="shared" si="4"/>
        <v>0</v>
      </c>
      <c r="J19" s="1130">
        <f t="shared" si="4"/>
        <v>0</v>
      </c>
      <c r="K19" s="1130">
        <f t="shared" si="4"/>
        <v>0</v>
      </c>
      <c r="L19" s="1130">
        <f t="shared" si="4"/>
        <v>0</v>
      </c>
      <c r="M19" s="1130">
        <f t="shared" si="4"/>
        <v>0</v>
      </c>
      <c r="N19" s="217">
        <f t="shared" si="1"/>
        <v>254862405</v>
      </c>
      <c r="O19" s="220">
        <f>'A5-Capex'!J57</f>
        <v>254862405</v>
      </c>
      <c r="P19" s="218">
        <f>'A5-Capex'!K57</f>
        <v>160351000</v>
      </c>
      <c r="Q19" s="345">
        <f>'A5-Capex'!L57</f>
        <v>186950000</v>
      </c>
      <c r="R19" s="370"/>
    </row>
    <row r="20" spans="1:20" x14ac:dyDescent="0.25">
      <c r="A20" s="1271" t="str">
        <f>'A5-Capex'!A58</f>
        <v>Electricity</v>
      </c>
      <c r="B20" s="864"/>
      <c r="C20" s="1635"/>
      <c r="D20" s="1614"/>
      <c r="E20" s="1614"/>
      <c r="F20" s="1614"/>
      <c r="G20" s="1614"/>
      <c r="H20" s="1614"/>
      <c r="I20" s="1614"/>
      <c r="J20" s="1614"/>
      <c r="K20" s="1614"/>
      <c r="L20" s="1614"/>
      <c r="M20" s="1614"/>
      <c r="N20" s="202">
        <f t="shared" si="1"/>
        <v>171500000</v>
      </c>
      <c r="O20" s="205">
        <f>'A5-Capex'!J58</f>
        <v>171500000</v>
      </c>
      <c r="P20" s="203">
        <f>'A5-Capex'!K58</f>
        <v>59372000</v>
      </c>
      <c r="Q20" s="264">
        <f>'A5-Capex'!L58</f>
        <v>42210000</v>
      </c>
      <c r="R20" s="370"/>
    </row>
    <row r="21" spans="1:20" x14ac:dyDescent="0.25">
      <c r="A21" s="1271" t="str">
        <f>'A5-Capex'!A59</f>
        <v>Water</v>
      </c>
      <c r="B21" s="864"/>
      <c r="C21" s="1635"/>
      <c r="D21" s="1614"/>
      <c r="E21" s="1614"/>
      <c r="F21" s="1614"/>
      <c r="G21" s="1614"/>
      <c r="H21" s="1614"/>
      <c r="I21" s="1614"/>
      <c r="J21" s="1614"/>
      <c r="K21" s="1614"/>
      <c r="L21" s="1614"/>
      <c r="M21" s="1614"/>
      <c r="N21" s="202">
        <f t="shared" si="1"/>
        <v>28175000</v>
      </c>
      <c r="O21" s="205">
        <f>'A5-Capex'!J59</f>
        <v>28175000</v>
      </c>
      <c r="P21" s="203">
        <f>'A5-Capex'!K59</f>
        <v>48879000</v>
      </c>
      <c r="Q21" s="264">
        <f>'A5-Capex'!L59</f>
        <v>73840000</v>
      </c>
      <c r="R21" s="370"/>
    </row>
    <row r="22" spans="1:20" x14ac:dyDescent="0.25">
      <c r="A22" s="1271" t="str">
        <f>'A5-Capex'!A60</f>
        <v>Waste water management</v>
      </c>
      <c r="B22" s="864"/>
      <c r="C22" s="1635"/>
      <c r="D22" s="1614"/>
      <c r="E22" s="1614"/>
      <c r="F22" s="1614"/>
      <c r="G22" s="1614"/>
      <c r="H22" s="1614"/>
      <c r="I22" s="1614"/>
      <c r="J22" s="1614"/>
      <c r="K22" s="1614"/>
      <c r="L22" s="1614"/>
      <c r="M22" s="1614"/>
      <c r="N22" s="202">
        <f t="shared" si="1"/>
        <v>47096555</v>
      </c>
      <c r="O22" s="205">
        <f>'A5-Capex'!J60</f>
        <v>47096555</v>
      </c>
      <c r="P22" s="203">
        <f>'A5-Capex'!K60</f>
        <v>44600000</v>
      </c>
      <c r="Q22" s="264">
        <f>'A5-Capex'!L60</f>
        <v>63400000</v>
      </c>
      <c r="R22" s="370"/>
    </row>
    <row r="23" spans="1:20" x14ac:dyDescent="0.25">
      <c r="A23" s="1271" t="str">
        <f>'A5-Capex'!A61</f>
        <v>Waste management</v>
      </c>
      <c r="B23" s="864"/>
      <c r="C23" s="1635"/>
      <c r="D23" s="1614"/>
      <c r="E23" s="1614"/>
      <c r="F23" s="1614"/>
      <c r="G23" s="1614"/>
      <c r="H23" s="1614"/>
      <c r="I23" s="1614"/>
      <c r="J23" s="1614"/>
      <c r="K23" s="1614"/>
      <c r="L23" s="1614"/>
      <c r="M23" s="1614"/>
      <c r="N23" s="202">
        <f t="shared" si="1"/>
        <v>8090850</v>
      </c>
      <c r="O23" s="205">
        <f>'A5-Capex'!J61</f>
        <v>8090850</v>
      </c>
      <c r="P23" s="203">
        <f>'A5-Capex'!K61</f>
        <v>7500000</v>
      </c>
      <c r="Q23" s="264">
        <f>'A5-Capex'!L61</f>
        <v>7500000</v>
      </c>
      <c r="R23" s="370"/>
    </row>
    <row r="24" spans="1:20" x14ac:dyDescent="0.25">
      <c r="A24" s="1270" t="str">
        <f>'A5-Capex'!A62</f>
        <v>Other</v>
      </c>
      <c r="B24" s="864"/>
      <c r="C24" s="1639">
        <v>140500</v>
      </c>
      <c r="D24" s="1639">
        <v>140500</v>
      </c>
      <c r="E24" s="1639">
        <v>224800</v>
      </c>
      <c r="F24" s="1639">
        <v>281000</v>
      </c>
      <c r="G24" s="1639">
        <v>0</v>
      </c>
      <c r="H24" s="1639">
        <v>5620</v>
      </c>
      <c r="I24" s="1639">
        <v>421500</v>
      </c>
      <c r="J24" s="1639">
        <v>0</v>
      </c>
      <c r="K24" s="1639">
        <v>562000</v>
      </c>
      <c r="L24" s="1639">
        <v>562000</v>
      </c>
      <c r="M24" s="1647">
        <f>336000</f>
        <v>336000</v>
      </c>
      <c r="N24" s="217">
        <f t="shared" si="1"/>
        <v>136080</v>
      </c>
      <c r="O24" s="220">
        <f>'A5-Capex'!J62</f>
        <v>2810000</v>
      </c>
      <c r="P24" s="218">
        <f>'A5-Capex'!K62</f>
        <v>0</v>
      </c>
      <c r="Q24" s="345">
        <f>'A5-Capex'!L62</f>
        <v>0</v>
      </c>
      <c r="R24" s="370"/>
    </row>
    <row r="25" spans="1:20" x14ac:dyDescent="0.25">
      <c r="A25" s="849" t="str">
        <f>'A5-Capex'!A63</f>
        <v>Total Capital Expenditure - Standard</v>
      </c>
      <c r="B25" s="881">
        <v>2</v>
      </c>
      <c r="C25" s="353">
        <f>C5+C9+C15+C19+C24</f>
        <v>10012200</v>
      </c>
      <c r="D25" s="227">
        <f t="shared" ref="D25:Q25" si="5">D5+D9+D15+D19+D24</f>
        <v>10404800</v>
      </c>
      <c r="E25" s="227">
        <f t="shared" si="5"/>
        <v>17040280</v>
      </c>
      <c r="F25" s="227">
        <f t="shared" si="5"/>
        <v>21202200</v>
      </c>
      <c r="G25" s="227">
        <f t="shared" si="5"/>
        <v>5103800</v>
      </c>
      <c r="H25" s="227">
        <f t="shared" si="5"/>
        <v>4263672</v>
      </c>
      <c r="I25" s="227">
        <f t="shared" si="5"/>
        <v>27288400</v>
      </c>
      <c r="J25" s="227">
        <f t="shared" si="5"/>
        <v>3533400</v>
      </c>
      <c r="K25" s="227">
        <f t="shared" si="5"/>
        <v>38871000</v>
      </c>
      <c r="L25" s="227">
        <f t="shared" si="5"/>
        <v>38085800</v>
      </c>
      <c r="M25" s="227">
        <f t="shared" si="5"/>
        <v>20352700</v>
      </c>
      <c r="N25" s="226">
        <f t="shared" si="5"/>
        <v>279500153</v>
      </c>
      <c r="O25" s="353">
        <f t="shared" si="5"/>
        <v>475658405</v>
      </c>
      <c r="P25" s="227">
        <f t="shared" si="5"/>
        <v>254271000</v>
      </c>
      <c r="Q25" s="352">
        <f t="shared" si="5"/>
        <v>242390000</v>
      </c>
      <c r="R25" s="370"/>
    </row>
    <row r="26" spans="1:20" s="709" customFormat="1" x14ac:dyDescent="0.25">
      <c r="A26" s="1422" t="str">
        <f>head27a</f>
        <v>References</v>
      </c>
      <c r="B26" s="1087"/>
      <c r="C26" s="1040"/>
      <c r="D26" s="1040"/>
      <c r="E26" s="1040"/>
      <c r="F26" s="1040"/>
      <c r="G26" s="1040"/>
      <c r="H26" s="1040"/>
      <c r="I26" s="1040"/>
      <c r="J26" s="1040"/>
      <c r="K26" s="1040"/>
      <c r="L26" s="1040"/>
      <c r="M26" s="1040"/>
      <c r="N26" s="1040"/>
      <c r="O26" s="1040"/>
      <c r="P26" s="1040"/>
      <c r="Q26" s="1040"/>
      <c r="R26" s="1086"/>
      <c r="S26" s="1086"/>
      <c r="T26" s="1086"/>
    </row>
    <row r="27" spans="1:20" s="709" customFormat="1" x14ac:dyDescent="0.25">
      <c r="A27" s="1418" t="s">
        <v>793</v>
      </c>
      <c r="C27" s="1040"/>
      <c r="D27" s="1040"/>
      <c r="E27" s="1040"/>
      <c r="F27" s="1040"/>
      <c r="G27" s="1040"/>
      <c r="H27" s="1040"/>
      <c r="I27" s="1040"/>
      <c r="J27" s="1040"/>
      <c r="K27" s="1040"/>
      <c r="L27" s="1040"/>
      <c r="M27" s="1040"/>
      <c r="N27" s="1040"/>
      <c r="O27" s="1040"/>
      <c r="P27" s="1040"/>
      <c r="Q27" s="1040"/>
      <c r="R27" s="1086"/>
      <c r="S27" s="1086"/>
      <c r="T27" s="1086"/>
    </row>
    <row r="28" spans="1:20" s="709" customFormat="1" x14ac:dyDescent="0.25">
      <c r="A28" s="1418" t="str">
        <f>'SA28'!A44</f>
        <v>2. Total Capital Expenditure must reconcile to Budgeted Capital Expenditure</v>
      </c>
    </row>
    <row r="29" spans="1:20" x14ac:dyDescent="0.25">
      <c r="A29" s="437" t="s">
        <v>1512</v>
      </c>
      <c r="B29" s="437"/>
      <c r="O29" s="807">
        <f>O25-'A5-Capex'!J40</f>
        <v>-103</v>
      </c>
      <c r="P29" s="807">
        <f>P25-'A5-Capex'!K40</f>
        <v>0</v>
      </c>
      <c r="Q29" s="807">
        <f>Q25-'A5-Capex'!L40</f>
        <v>0</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enableFormatConditionsCalculation="0">
    <tabColor indexed="42"/>
  </sheetPr>
  <dimension ref="A1:AR191"/>
  <sheetViews>
    <sheetView showGridLines="0" zoomScaleNormal="100" workbookViewId="0">
      <pane xSplit="1" ySplit="3" topLeftCell="E4" activePane="bottomRight" state="frozen"/>
      <selection pane="topRight"/>
      <selection pane="bottomLeft"/>
      <selection pane="bottomRight" activeCell="M67" sqref="M67"/>
    </sheetView>
  </sheetViews>
  <sheetFormatPr defaultColWidth="9.1796875" defaultRowHeight="10.5" x14ac:dyDescent="0.25"/>
  <cols>
    <col min="1" max="1" width="30.7265625" style="149" customWidth="1"/>
    <col min="2" max="13" width="8.26953125" style="149" customWidth="1"/>
    <col min="14" max="16" width="9.26953125" style="149" customWidth="1"/>
    <col min="17" max="17" width="9.81640625" style="149" hidden="1" customWidth="1"/>
    <col min="18" max="18" width="9.54296875" style="149" hidden="1" customWidth="1"/>
    <col min="19" max="19" width="9.81640625" style="149" hidden="1" customWidth="1"/>
    <col min="20" max="20" width="11.26953125" style="149" customWidth="1"/>
    <col min="21" max="21" width="9.54296875" style="149" bestFit="1" customWidth="1"/>
    <col min="22" max="25" width="9.81640625" style="149" bestFit="1" customWidth="1"/>
    <col min="26" max="27" width="9.54296875" style="149" bestFit="1" customWidth="1"/>
    <col min="28" max="28" width="9.81640625" style="149" bestFit="1" customWidth="1"/>
    <col min="29" max="16384" width="9.1796875" style="149"/>
  </cols>
  <sheetData>
    <row r="1" spans="1:22" ht="13.5" customHeight="1" x14ac:dyDescent="0.3">
      <c r="A1" s="147" t="str">
        <f>muni&amp;" - "&amp; TableA30</f>
        <v>KZN225 Msunduzi - Supporting Table SA30 Consolidated budgeted monthly cash flow</v>
      </c>
      <c r="B1" s="147"/>
      <c r="C1" s="147"/>
      <c r="D1" s="147"/>
      <c r="E1" s="147"/>
      <c r="F1" s="147"/>
      <c r="G1" s="147"/>
      <c r="H1" s="147"/>
      <c r="I1" s="147"/>
      <c r="J1" s="147"/>
      <c r="K1" s="147"/>
      <c r="L1" s="147"/>
      <c r="M1" s="147"/>
      <c r="N1" s="147"/>
      <c r="O1" s="147"/>
      <c r="P1" s="147"/>
      <c r="Q1" s="147"/>
    </row>
    <row r="2" spans="1:22" ht="28.5" customHeight="1" x14ac:dyDescent="0.25">
      <c r="A2" s="1001" t="s">
        <v>418</v>
      </c>
      <c r="B2" s="2677" t="str">
        <f>Head9</f>
        <v>Budget Year 2013/14</v>
      </c>
      <c r="C2" s="2678"/>
      <c r="D2" s="2678"/>
      <c r="E2" s="2678"/>
      <c r="F2" s="2678"/>
      <c r="G2" s="2678"/>
      <c r="H2" s="2678"/>
      <c r="I2" s="2678"/>
      <c r="J2" s="2678"/>
      <c r="K2" s="2678"/>
      <c r="L2" s="2678"/>
      <c r="M2" s="2678"/>
      <c r="N2" s="2674" t="s">
        <v>1790</v>
      </c>
      <c r="O2" s="2675"/>
      <c r="P2" s="2676"/>
    </row>
    <row r="3" spans="1:22" ht="21" x14ac:dyDescent="0.25">
      <c r="A3" s="180" t="s">
        <v>665</v>
      </c>
      <c r="B3" s="299" t="s">
        <v>723</v>
      </c>
      <c r="C3" s="928" t="s">
        <v>1400</v>
      </c>
      <c r="D3" s="928" t="s">
        <v>1401</v>
      </c>
      <c r="E3" s="928" t="s">
        <v>1402</v>
      </c>
      <c r="F3" s="928" t="s">
        <v>704</v>
      </c>
      <c r="G3" s="928" t="s">
        <v>705</v>
      </c>
      <c r="H3" s="928" t="s">
        <v>706</v>
      </c>
      <c r="I3" s="928" t="s">
        <v>707</v>
      </c>
      <c r="J3" s="928" t="s">
        <v>708</v>
      </c>
      <c r="K3" s="928" t="s">
        <v>709</v>
      </c>
      <c r="L3" s="928" t="s">
        <v>710</v>
      </c>
      <c r="M3" s="391" t="s">
        <v>711</v>
      </c>
      <c r="N3" s="299" t="str">
        <f>Head9</f>
        <v>Budget Year 2013/14</v>
      </c>
      <c r="O3" s="390" t="str">
        <f>Head10</f>
        <v>Budget Year +1 2014/15</v>
      </c>
      <c r="P3" s="391" t="str">
        <f>Head11</f>
        <v>Budget Year +2 2015/16</v>
      </c>
    </row>
    <row r="4" spans="1:22" x14ac:dyDescent="0.25">
      <c r="A4" s="249" t="s">
        <v>911</v>
      </c>
      <c r="B4" s="313"/>
      <c r="C4" s="311"/>
      <c r="D4" s="311"/>
      <c r="E4" s="311"/>
      <c r="F4" s="311"/>
      <c r="G4" s="311"/>
      <c r="H4" s="311"/>
      <c r="I4" s="311"/>
      <c r="J4" s="311"/>
      <c r="K4" s="311"/>
      <c r="L4" s="311"/>
      <c r="M4" s="314"/>
      <c r="N4" s="1436">
        <v>1</v>
      </c>
      <c r="O4" s="311"/>
      <c r="P4" s="314"/>
      <c r="T4" s="370"/>
    </row>
    <row r="5" spans="1:22" x14ac:dyDescent="0.25">
      <c r="A5" s="250" t="str">
        <f>'A4-FinPerf RE'!A5</f>
        <v>Property rates</v>
      </c>
      <c r="B5" s="1635">
        <f>N5*0.05</f>
        <v>30405200</v>
      </c>
      <c r="C5" s="1614">
        <f>N5*0.11</f>
        <v>66891440</v>
      </c>
      <c r="D5" s="1614">
        <f>N5*0.11</f>
        <v>66891440</v>
      </c>
      <c r="E5" s="1614">
        <f>N5*0.11</f>
        <v>66891440</v>
      </c>
      <c r="F5" s="1614">
        <f>N5*0.1</f>
        <v>60810400</v>
      </c>
      <c r="G5" s="1614">
        <f>N5*0.05</f>
        <v>30405200</v>
      </c>
      <c r="H5" s="1614">
        <f>N5*0.1</f>
        <v>60810400</v>
      </c>
      <c r="I5" s="1614">
        <f>N5*0.095</f>
        <v>57769880</v>
      </c>
      <c r="J5" s="1614">
        <f>N5*0.09</f>
        <v>54729360</v>
      </c>
      <c r="K5" s="1614">
        <f>N5*0.07</f>
        <v>42567280.000000007</v>
      </c>
      <c r="L5" s="1614">
        <f>71509000/2</f>
        <v>35754500</v>
      </c>
      <c r="M5" s="204">
        <f t="shared" ref="M5:M20" si="0">N5-SUM(B5:L5)</f>
        <v>34177460</v>
      </c>
      <c r="N5" s="1614">
        <v>608104000</v>
      </c>
      <c r="O5" s="1634">
        <v>641549000</v>
      </c>
      <c r="P5" s="1634">
        <v>676835000</v>
      </c>
      <c r="T5" s="370"/>
      <c r="U5" s="370"/>
      <c r="V5" s="370"/>
    </row>
    <row r="6" spans="1:22" x14ac:dyDescent="0.25">
      <c r="A6" s="250" t="str">
        <f>'A4-FinPerf RE'!A6</f>
        <v>Property rates - penalties &amp; collection charges</v>
      </c>
      <c r="B6" s="1635">
        <f t="shared" ref="B6:B20" si="1">N6*0.05</f>
        <v>1868150</v>
      </c>
      <c r="C6" s="1614">
        <f t="shared" ref="C6:C20" si="2">N6*0.11</f>
        <v>4109930</v>
      </c>
      <c r="D6" s="1614">
        <f t="shared" ref="D6:D20" si="3">N6*0.11</f>
        <v>4109930</v>
      </c>
      <c r="E6" s="1614">
        <f t="shared" ref="E6:E20" si="4">N6*0.11</f>
        <v>4109930</v>
      </c>
      <c r="F6" s="1614">
        <f t="shared" ref="F6:F20" si="5">N6*0.1</f>
        <v>3736300</v>
      </c>
      <c r="G6" s="1614">
        <f t="shared" ref="G6:G20" si="6">N6*0.05</f>
        <v>1868150</v>
      </c>
      <c r="H6" s="1614">
        <f t="shared" ref="H6:H20" si="7">N6*0.1</f>
        <v>3736300</v>
      </c>
      <c r="I6" s="1614">
        <f t="shared" ref="I6:I20" si="8">N6*0.095</f>
        <v>3549485</v>
      </c>
      <c r="J6" s="1614">
        <f t="shared" ref="J6:J20" si="9">N6*0.09</f>
        <v>3362670</v>
      </c>
      <c r="K6" s="1614">
        <f t="shared" ref="K6:K20" si="10">N6*0.07</f>
        <v>2615410.0000000005</v>
      </c>
      <c r="L6" s="1614">
        <f>4094000/2</f>
        <v>2047000</v>
      </c>
      <c r="M6" s="204">
        <f t="shared" si="0"/>
        <v>2249745</v>
      </c>
      <c r="N6" s="1614">
        <v>37363000</v>
      </c>
      <c r="O6" s="1634">
        <v>38857000</v>
      </c>
      <c r="P6" s="1634">
        <v>40800000</v>
      </c>
      <c r="T6" s="370"/>
      <c r="U6" s="370"/>
      <c r="V6" s="370"/>
    </row>
    <row r="7" spans="1:22" x14ac:dyDescent="0.25">
      <c r="A7" s="250" t="str">
        <f>'A4-FinPerf RE'!A7</f>
        <v>Service charges - electricity revenue</v>
      </c>
      <c r="B7" s="1635">
        <f>171471000</f>
        <v>171471000</v>
      </c>
      <c r="C7" s="1635">
        <f>171471000-500000</f>
        <v>170971000</v>
      </c>
      <c r="D7" s="1635">
        <f>171471000-9500000</f>
        <v>161971000</v>
      </c>
      <c r="E7" s="1614">
        <v>77941000</v>
      </c>
      <c r="F7" s="1614">
        <v>77941000</v>
      </c>
      <c r="G7" s="1614">
        <v>77941000</v>
      </c>
      <c r="H7" s="1614">
        <v>77941000</v>
      </c>
      <c r="I7" s="1614">
        <v>77941000</v>
      </c>
      <c r="J7" s="1614">
        <v>77941000</v>
      </c>
      <c r="K7" s="1614">
        <f>166275000+15000000</f>
        <v>181275000</v>
      </c>
      <c r="L7" s="1614">
        <f>166275000+16000000</f>
        <v>182275000</v>
      </c>
      <c r="M7" s="204">
        <f t="shared" si="0"/>
        <v>223218000</v>
      </c>
      <c r="N7" s="1614">
        <v>1558827000</v>
      </c>
      <c r="O7" s="1634">
        <v>1714709000</v>
      </c>
      <c r="P7" s="1634">
        <v>1886180000</v>
      </c>
      <c r="T7" s="370"/>
      <c r="U7" s="370"/>
      <c r="V7" s="370"/>
    </row>
    <row r="8" spans="1:22" x14ac:dyDescent="0.25">
      <c r="A8" s="250" t="str">
        <f>'A4-FinPerf RE'!A8</f>
        <v>Service charges - water revenue</v>
      </c>
      <c r="B8" s="1635">
        <f>41085000</f>
        <v>41085000</v>
      </c>
      <c r="C8" s="1635">
        <f>41085000-500000</f>
        <v>40585000</v>
      </c>
      <c r="D8" s="1635">
        <f>41085000-3000000</f>
        <v>38085000</v>
      </c>
      <c r="E8" s="1614">
        <v>18675000</v>
      </c>
      <c r="F8" s="1614">
        <v>18675000</v>
      </c>
      <c r="G8" s="1614">
        <v>18675000</v>
      </c>
      <c r="H8" s="1614">
        <v>18675000</v>
      </c>
      <c r="I8" s="1614">
        <v>18675000</v>
      </c>
      <c r="J8" s="1614">
        <v>18675000</v>
      </c>
      <c r="K8" s="1614">
        <f>N8*0.07</f>
        <v>26145000.000000004</v>
      </c>
      <c r="L8" s="1614">
        <v>56025000</v>
      </c>
      <c r="M8" s="204">
        <f t="shared" si="0"/>
        <v>59525000</v>
      </c>
      <c r="N8" s="1614">
        <v>373500000</v>
      </c>
      <c r="O8" s="1634">
        <v>410850000</v>
      </c>
      <c r="P8" s="1634">
        <v>451935000</v>
      </c>
      <c r="T8" s="370"/>
      <c r="U8" s="370"/>
      <c r="V8" s="370"/>
    </row>
    <row r="9" spans="1:22" x14ac:dyDescent="0.25">
      <c r="A9" s="250" t="str">
        <f>'A4-FinPerf RE'!A9</f>
        <v>Service charges - sanitation revenue</v>
      </c>
      <c r="B9" s="1635">
        <f t="shared" si="1"/>
        <v>6607650</v>
      </c>
      <c r="C9" s="1614">
        <f t="shared" si="2"/>
        <v>14536830</v>
      </c>
      <c r="D9" s="1614">
        <f t="shared" si="3"/>
        <v>14536830</v>
      </c>
      <c r="E9" s="1614">
        <f t="shared" si="4"/>
        <v>14536830</v>
      </c>
      <c r="F9" s="1614">
        <f t="shared" si="5"/>
        <v>13215300</v>
      </c>
      <c r="G9" s="1614">
        <f t="shared" si="6"/>
        <v>6607650</v>
      </c>
      <c r="H9" s="1614">
        <f t="shared" si="7"/>
        <v>13215300</v>
      </c>
      <c r="I9" s="1614">
        <f t="shared" si="8"/>
        <v>12554535</v>
      </c>
      <c r="J9" s="1614">
        <f t="shared" si="9"/>
        <v>11893770</v>
      </c>
      <c r="K9" s="1614">
        <f t="shared" si="10"/>
        <v>9250710</v>
      </c>
      <c r="L9" s="1614">
        <f>14028000/2</f>
        <v>7014000</v>
      </c>
      <c r="M9" s="204">
        <f t="shared" si="0"/>
        <v>8183595</v>
      </c>
      <c r="N9" s="1614">
        <v>132153000</v>
      </c>
      <c r="O9" s="1634">
        <v>139421000</v>
      </c>
      <c r="P9" s="1634">
        <v>147089000</v>
      </c>
      <c r="T9" s="370"/>
      <c r="U9" s="370"/>
      <c r="V9" s="370"/>
    </row>
    <row r="10" spans="1:22" x14ac:dyDescent="0.25">
      <c r="A10" s="250" t="str">
        <f>'A4-FinPerf RE'!A10</f>
        <v>Service charges - refuse revenue</v>
      </c>
      <c r="B10" s="1635">
        <f t="shared" si="1"/>
        <v>3879600</v>
      </c>
      <c r="C10" s="1614">
        <f t="shared" si="2"/>
        <v>8535120</v>
      </c>
      <c r="D10" s="1614">
        <f t="shared" si="3"/>
        <v>8535120</v>
      </c>
      <c r="E10" s="1614">
        <f t="shared" si="4"/>
        <v>8535120</v>
      </c>
      <c r="F10" s="1614">
        <f t="shared" si="5"/>
        <v>7759200</v>
      </c>
      <c r="G10" s="1614">
        <f t="shared" si="6"/>
        <v>3879600</v>
      </c>
      <c r="H10" s="1614">
        <f t="shared" si="7"/>
        <v>7759200</v>
      </c>
      <c r="I10" s="1614">
        <f t="shared" si="8"/>
        <v>7371240</v>
      </c>
      <c r="J10" s="1614">
        <f t="shared" si="9"/>
        <v>6983280</v>
      </c>
      <c r="K10" s="1614">
        <f t="shared" si="10"/>
        <v>5431440.0000000009</v>
      </c>
      <c r="L10" s="1614">
        <f>9653000/2</f>
        <v>4826500</v>
      </c>
      <c r="M10" s="204">
        <f t="shared" si="0"/>
        <v>4096580</v>
      </c>
      <c r="N10" s="1614">
        <v>77592000</v>
      </c>
      <c r="O10" s="1634">
        <v>81860000</v>
      </c>
      <c r="P10" s="1634">
        <v>86362000</v>
      </c>
      <c r="T10" s="370"/>
      <c r="U10" s="370"/>
      <c r="V10" s="370"/>
    </row>
    <row r="11" spans="1:22" x14ac:dyDescent="0.25">
      <c r="A11" s="250" t="str">
        <f>'A4-FinPerf RE'!A11</f>
        <v>Service charges - other</v>
      </c>
      <c r="B11" s="1635">
        <f t="shared" si="1"/>
        <v>0</v>
      </c>
      <c r="C11" s="1614">
        <f t="shared" si="2"/>
        <v>0</v>
      </c>
      <c r="D11" s="1614">
        <f t="shared" si="3"/>
        <v>0</v>
      </c>
      <c r="E11" s="1614">
        <f t="shared" si="4"/>
        <v>0</v>
      </c>
      <c r="F11" s="1614">
        <f t="shared" si="5"/>
        <v>0</v>
      </c>
      <c r="G11" s="1614">
        <f t="shared" si="6"/>
        <v>0</v>
      </c>
      <c r="H11" s="1614">
        <f t="shared" si="7"/>
        <v>0</v>
      </c>
      <c r="I11" s="1614">
        <f t="shared" si="8"/>
        <v>0</v>
      </c>
      <c r="J11" s="1614">
        <f t="shared" si="9"/>
        <v>0</v>
      </c>
      <c r="K11" s="1614">
        <f t="shared" si="10"/>
        <v>0</v>
      </c>
      <c r="L11" s="1614">
        <v>0</v>
      </c>
      <c r="M11" s="204">
        <f t="shared" si="0"/>
        <v>0</v>
      </c>
      <c r="N11" s="1614">
        <v>0</v>
      </c>
      <c r="O11" s="1634">
        <v>0</v>
      </c>
      <c r="P11" s="1634"/>
      <c r="T11" s="370"/>
      <c r="U11" s="370"/>
      <c r="V11" s="370"/>
    </row>
    <row r="12" spans="1:22" x14ac:dyDescent="0.25">
      <c r="A12" s="250" t="str">
        <f>'A4-FinPerf RE'!A12</f>
        <v>Rental of facilities and equipment</v>
      </c>
      <c r="B12" s="1635">
        <f t="shared" si="1"/>
        <v>1317150</v>
      </c>
      <c r="C12" s="1614">
        <f t="shared" si="2"/>
        <v>2897730</v>
      </c>
      <c r="D12" s="1614">
        <f t="shared" si="3"/>
        <v>2897730</v>
      </c>
      <c r="E12" s="1614">
        <f t="shared" si="4"/>
        <v>2897730</v>
      </c>
      <c r="F12" s="1614">
        <f t="shared" si="5"/>
        <v>2634300</v>
      </c>
      <c r="G12" s="1614">
        <f t="shared" si="6"/>
        <v>1317150</v>
      </c>
      <c r="H12" s="1614">
        <f t="shared" si="7"/>
        <v>2634300</v>
      </c>
      <c r="I12" s="1614">
        <f t="shared" si="8"/>
        <v>2502585</v>
      </c>
      <c r="J12" s="1614">
        <f t="shared" si="9"/>
        <v>2370870</v>
      </c>
      <c r="K12" s="1614">
        <f t="shared" si="10"/>
        <v>1844010.0000000002</v>
      </c>
      <c r="L12" s="1614">
        <f>2516000/2</f>
        <v>1258000</v>
      </c>
      <c r="M12" s="204">
        <f t="shared" si="0"/>
        <v>1771445</v>
      </c>
      <c r="N12" s="1614">
        <v>26343000</v>
      </c>
      <c r="O12" s="1634">
        <v>28977000</v>
      </c>
      <c r="P12" s="1634">
        <v>31875000</v>
      </c>
      <c r="T12" s="370"/>
      <c r="U12" s="370"/>
      <c r="V12" s="370"/>
    </row>
    <row r="13" spans="1:22" x14ac:dyDescent="0.25">
      <c r="A13" s="250" t="str">
        <f>'A4-FinPerf RE'!A13</f>
        <v>Interest earned - external investments</v>
      </c>
      <c r="B13" s="1635">
        <f t="shared" si="1"/>
        <v>947050</v>
      </c>
      <c r="C13" s="1614">
        <f t="shared" si="2"/>
        <v>2083510</v>
      </c>
      <c r="D13" s="1614">
        <f t="shared" si="3"/>
        <v>2083510</v>
      </c>
      <c r="E13" s="1614">
        <f t="shared" si="4"/>
        <v>2083510</v>
      </c>
      <c r="F13" s="1614">
        <f t="shared" si="5"/>
        <v>1894100</v>
      </c>
      <c r="G13" s="1614">
        <f t="shared" si="6"/>
        <v>947050</v>
      </c>
      <c r="H13" s="1614">
        <f t="shared" si="7"/>
        <v>1894100</v>
      </c>
      <c r="I13" s="1614">
        <f t="shared" si="8"/>
        <v>1799395</v>
      </c>
      <c r="J13" s="1614">
        <f t="shared" si="9"/>
        <v>1704690</v>
      </c>
      <c r="K13" s="1614">
        <f t="shared" si="10"/>
        <v>1325870.0000000002</v>
      </c>
      <c r="L13" s="1614">
        <v>0</v>
      </c>
      <c r="M13" s="204">
        <f t="shared" si="0"/>
        <v>2178215</v>
      </c>
      <c r="N13" s="1614">
        <v>18941000</v>
      </c>
      <c r="O13" s="1634">
        <v>19366000</v>
      </c>
      <c r="P13" s="1634">
        <v>20431000</v>
      </c>
      <c r="T13" s="370"/>
      <c r="U13" s="370"/>
      <c r="V13" s="370"/>
    </row>
    <row r="14" spans="1:22" x14ac:dyDescent="0.25">
      <c r="A14" s="250" t="str">
        <f>'A4-FinPerf RE'!A14</f>
        <v>Interest earned - outstanding debtors</v>
      </c>
      <c r="B14" s="1635">
        <f t="shared" si="1"/>
        <v>62750</v>
      </c>
      <c r="C14" s="1614">
        <f t="shared" si="2"/>
        <v>138050</v>
      </c>
      <c r="D14" s="1614">
        <f t="shared" si="3"/>
        <v>138050</v>
      </c>
      <c r="E14" s="1614">
        <f t="shared" si="4"/>
        <v>138050</v>
      </c>
      <c r="F14" s="1614">
        <f t="shared" si="5"/>
        <v>125500</v>
      </c>
      <c r="G14" s="1614">
        <f t="shared" si="6"/>
        <v>62750</v>
      </c>
      <c r="H14" s="1614">
        <f t="shared" si="7"/>
        <v>125500</v>
      </c>
      <c r="I14" s="1614">
        <f t="shared" si="8"/>
        <v>119225</v>
      </c>
      <c r="J14" s="1614">
        <f t="shared" si="9"/>
        <v>112950</v>
      </c>
      <c r="K14" s="1614">
        <f t="shared" si="10"/>
        <v>87850.000000000015</v>
      </c>
      <c r="L14" s="1614">
        <v>0</v>
      </c>
      <c r="M14" s="204">
        <f t="shared" si="0"/>
        <v>144325</v>
      </c>
      <c r="N14" s="1614">
        <v>1255000</v>
      </c>
      <c r="O14" s="1634">
        <v>1292000</v>
      </c>
      <c r="P14" s="1634">
        <v>1318000</v>
      </c>
      <c r="T14" s="370"/>
      <c r="U14" s="370"/>
      <c r="V14" s="370"/>
    </row>
    <row r="15" spans="1:22" x14ac:dyDescent="0.25">
      <c r="A15" s="250" t="str">
        <f>'A4-FinPerf RE'!A15</f>
        <v>Dividends received</v>
      </c>
      <c r="B15" s="1635">
        <f t="shared" si="1"/>
        <v>0</v>
      </c>
      <c r="C15" s="1614">
        <f t="shared" si="2"/>
        <v>0</v>
      </c>
      <c r="D15" s="1614">
        <f t="shared" si="3"/>
        <v>0</v>
      </c>
      <c r="E15" s="1614">
        <f t="shared" si="4"/>
        <v>0</v>
      </c>
      <c r="F15" s="1614">
        <f t="shared" si="5"/>
        <v>0</v>
      </c>
      <c r="G15" s="1614">
        <f t="shared" si="6"/>
        <v>0</v>
      </c>
      <c r="H15" s="1614">
        <f t="shared" si="7"/>
        <v>0</v>
      </c>
      <c r="I15" s="1614">
        <f t="shared" si="8"/>
        <v>0</v>
      </c>
      <c r="J15" s="1614">
        <f t="shared" si="9"/>
        <v>0</v>
      </c>
      <c r="K15" s="1614">
        <f t="shared" si="10"/>
        <v>0</v>
      </c>
      <c r="L15" s="1614">
        <v>0</v>
      </c>
      <c r="M15" s="204">
        <f t="shared" si="0"/>
        <v>0</v>
      </c>
      <c r="N15" s="1614">
        <v>0</v>
      </c>
      <c r="O15" s="1634">
        <v>0</v>
      </c>
      <c r="P15" s="1634"/>
      <c r="T15" s="370"/>
      <c r="U15" s="370"/>
      <c r="V15" s="370"/>
    </row>
    <row r="16" spans="1:22" x14ac:dyDescent="0.25">
      <c r="A16" s="250" t="str">
        <f>'A4-FinPerf RE'!A16</f>
        <v>Fines</v>
      </c>
      <c r="B16" s="1635">
        <f t="shared" si="1"/>
        <v>281700</v>
      </c>
      <c r="C16" s="1614">
        <f t="shared" si="2"/>
        <v>619740</v>
      </c>
      <c r="D16" s="1614">
        <f t="shared" si="3"/>
        <v>619740</v>
      </c>
      <c r="E16" s="1614">
        <f t="shared" si="4"/>
        <v>619740</v>
      </c>
      <c r="F16" s="1614">
        <f t="shared" si="5"/>
        <v>563400</v>
      </c>
      <c r="G16" s="1614">
        <f t="shared" si="6"/>
        <v>281700</v>
      </c>
      <c r="H16" s="1614">
        <f t="shared" si="7"/>
        <v>563400</v>
      </c>
      <c r="I16" s="1614">
        <f t="shared" si="8"/>
        <v>535230</v>
      </c>
      <c r="J16" s="1614">
        <f t="shared" si="9"/>
        <v>507060</v>
      </c>
      <c r="K16" s="1614">
        <f t="shared" si="10"/>
        <v>394380.00000000006</v>
      </c>
      <c r="L16" s="1614">
        <f>426000/2</f>
        <v>213000</v>
      </c>
      <c r="M16" s="204">
        <f t="shared" si="0"/>
        <v>434910</v>
      </c>
      <c r="N16" s="1614">
        <v>5634000</v>
      </c>
      <c r="O16" s="1634">
        <v>5932000</v>
      </c>
      <c r="P16" s="1634">
        <v>6151000</v>
      </c>
      <c r="T16" s="370"/>
      <c r="U16" s="370"/>
      <c r="V16" s="370"/>
    </row>
    <row r="17" spans="1:23" x14ac:dyDescent="0.25">
      <c r="A17" s="250" t="str">
        <f>'A4-FinPerf RE'!A17</f>
        <v>Licences and permits</v>
      </c>
      <c r="B17" s="1635">
        <f t="shared" si="1"/>
        <v>2400</v>
      </c>
      <c r="C17" s="1614">
        <f t="shared" si="2"/>
        <v>5280</v>
      </c>
      <c r="D17" s="1614">
        <f t="shared" si="3"/>
        <v>5280</v>
      </c>
      <c r="E17" s="1614">
        <f t="shared" si="4"/>
        <v>5280</v>
      </c>
      <c r="F17" s="1614">
        <f t="shared" si="5"/>
        <v>4800</v>
      </c>
      <c r="G17" s="1614">
        <f t="shared" si="6"/>
        <v>2400</v>
      </c>
      <c r="H17" s="1614">
        <f t="shared" si="7"/>
        <v>4800</v>
      </c>
      <c r="I17" s="1614">
        <f t="shared" si="8"/>
        <v>4560</v>
      </c>
      <c r="J17" s="1614">
        <f t="shared" si="9"/>
        <v>4320</v>
      </c>
      <c r="K17" s="1614">
        <f t="shared" si="10"/>
        <v>3360.0000000000005</v>
      </c>
      <c r="L17" s="1614">
        <f>9000/2</f>
        <v>4500</v>
      </c>
      <c r="M17" s="204">
        <f t="shared" si="0"/>
        <v>1020</v>
      </c>
      <c r="N17" s="1614">
        <v>48000</v>
      </c>
      <c r="O17" s="1634">
        <v>50000</v>
      </c>
      <c r="P17" s="1634">
        <v>53000</v>
      </c>
      <c r="T17" s="370"/>
      <c r="U17" s="370"/>
      <c r="V17" s="370"/>
    </row>
    <row r="18" spans="1:23" x14ac:dyDescent="0.25">
      <c r="A18" s="250" t="str">
        <f>'A4-FinPerf RE'!A18</f>
        <v>Agency services</v>
      </c>
      <c r="B18" s="1635">
        <f t="shared" si="1"/>
        <v>29300</v>
      </c>
      <c r="C18" s="1614">
        <f t="shared" si="2"/>
        <v>64460</v>
      </c>
      <c r="D18" s="1614">
        <f t="shared" si="3"/>
        <v>64460</v>
      </c>
      <c r="E18" s="1614">
        <f t="shared" si="4"/>
        <v>64460</v>
      </c>
      <c r="F18" s="1614">
        <f t="shared" si="5"/>
        <v>58600</v>
      </c>
      <c r="G18" s="1614">
        <f t="shared" si="6"/>
        <v>29300</v>
      </c>
      <c r="H18" s="1614">
        <f t="shared" si="7"/>
        <v>58600</v>
      </c>
      <c r="I18" s="1614">
        <f t="shared" si="8"/>
        <v>55670</v>
      </c>
      <c r="J18" s="1614">
        <f t="shared" si="9"/>
        <v>52740</v>
      </c>
      <c r="K18" s="1614">
        <f t="shared" si="10"/>
        <v>41020.000000000007</v>
      </c>
      <c r="L18" s="1614">
        <f>46000/2</f>
        <v>23000</v>
      </c>
      <c r="M18" s="204">
        <f t="shared" si="0"/>
        <v>44390</v>
      </c>
      <c r="N18" s="1614">
        <v>586000</v>
      </c>
      <c r="O18" s="1634">
        <v>592000</v>
      </c>
      <c r="P18" s="1634">
        <v>603000</v>
      </c>
      <c r="T18" s="370"/>
      <c r="U18" s="370"/>
      <c r="V18" s="370"/>
    </row>
    <row r="19" spans="1:23" x14ac:dyDescent="0.25">
      <c r="A19" s="190" t="s">
        <v>567</v>
      </c>
      <c r="B19" s="1635">
        <f t="shared" si="1"/>
        <v>32602950</v>
      </c>
      <c r="C19" s="1614">
        <f t="shared" si="2"/>
        <v>71726490</v>
      </c>
      <c r="D19" s="1614">
        <f t="shared" si="3"/>
        <v>71726490</v>
      </c>
      <c r="E19" s="1614">
        <f t="shared" si="4"/>
        <v>71726490</v>
      </c>
      <c r="F19" s="1614">
        <f t="shared" si="5"/>
        <v>65205900</v>
      </c>
      <c r="G19" s="1614">
        <f t="shared" si="6"/>
        <v>32602950</v>
      </c>
      <c r="H19" s="1614">
        <f t="shared" si="7"/>
        <v>65205900</v>
      </c>
      <c r="I19" s="1614">
        <f t="shared" si="8"/>
        <v>61945605</v>
      </c>
      <c r="J19" s="1614">
        <f t="shared" si="9"/>
        <v>58685310</v>
      </c>
      <c r="K19" s="1614">
        <f t="shared" si="10"/>
        <v>45644130.000000007</v>
      </c>
      <c r="L19" s="1614">
        <f>47578000/2</f>
        <v>23789000</v>
      </c>
      <c r="M19" s="204">
        <f t="shared" si="0"/>
        <v>51197785</v>
      </c>
      <c r="N19" s="1614">
        <v>652059000</v>
      </c>
      <c r="O19" s="1634">
        <v>589871000</v>
      </c>
      <c r="P19" s="1634">
        <v>655040000</v>
      </c>
      <c r="T19" s="370"/>
      <c r="U19" s="370"/>
      <c r="V19" s="370"/>
    </row>
    <row r="20" spans="1:23" x14ac:dyDescent="0.25">
      <c r="A20" s="250" t="str">
        <f>'A4-FinPerf RE'!A20</f>
        <v>Other revenue</v>
      </c>
      <c r="B20" s="1635">
        <f t="shared" si="1"/>
        <v>2400550</v>
      </c>
      <c r="C20" s="1614">
        <f t="shared" si="2"/>
        <v>5281210</v>
      </c>
      <c r="D20" s="1614">
        <f t="shared" si="3"/>
        <v>5281210</v>
      </c>
      <c r="E20" s="1614">
        <f t="shared" si="4"/>
        <v>5281210</v>
      </c>
      <c r="F20" s="1614">
        <f t="shared" si="5"/>
        <v>4801100</v>
      </c>
      <c r="G20" s="1614">
        <f t="shared" si="6"/>
        <v>2400550</v>
      </c>
      <c r="H20" s="1614">
        <f t="shared" si="7"/>
        <v>4801100</v>
      </c>
      <c r="I20" s="1614">
        <f t="shared" si="8"/>
        <v>4561045</v>
      </c>
      <c r="J20" s="1614">
        <f t="shared" si="9"/>
        <v>4320990</v>
      </c>
      <c r="K20" s="1614">
        <f t="shared" si="10"/>
        <v>3360770.0000000005</v>
      </c>
      <c r="L20" s="1614">
        <f>6029000/2</f>
        <v>3014500</v>
      </c>
      <c r="M20" s="204">
        <f t="shared" si="0"/>
        <v>2506765</v>
      </c>
      <c r="N20" s="1614">
        <v>48011000</v>
      </c>
      <c r="O20" s="1634">
        <v>49222000</v>
      </c>
      <c r="P20" s="1634">
        <v>48825000</v>
      </c>
      <c r="T20" s="370"/>
      <c r="U20" s="370"/>
      <c r="V20" s="370"/>
    </row>
    <row r="21" spans="1:23" x14ac:dyDescent="0.25">
      <c r="A21" s="650" t="s">
        <v>1604</v>
      </c>
      <c r="B21" s="269">
        <f t="shared" ref="B21:P21" si="11">SUM(B5:B20)</f>
        <v>292960450</v>
      </c>
      <c r="C21" s="267">
        <f t="shared" si="11"/>
        <v>388445790</v>
      </c>
      <c r="D21" s="267">
        <f t="shared" si="11"/>
        <v>376945790</v>
      </c>
      <c r="E21" s="267">
        <f t="shared" si="11"/>
        <v>273505790</v>
      </c>
      <c r="F21" s="267">
        <f>SUM(F5:F20)</f>
        <v>257424900</v>
      </c>
      <c r="G21" s="267">
        <f t="shared" si="11"/>
        <v>177020450</v>
      </c>
      <c r="H21" s="267">
        <f t="shared" si="11"/>
        <v>257424900</v>
      </c>
      <c r="I21" s="267">
        <f t="shared" si="11"/>
        <v>249384455</v>
      </c>
      <c r="J21" s="267">
        <f t="shared" si="11"/>
        <v>241344010</v>
      </c>
      <c r="K21" s="267">
        <f t="shared" si="11"/>
        <v>319986230</v>
      </c>
      <c r="L21" s="267">
        <f t="shared" si="11"/>
        <v>316244000</v>
      </c>
      <c r="M21" s="268">
        <f t="shared" si="11"/>
        <v>389729235</v>
      </c>
      <c r="N21" s="269">
        <f t="shared" si="11"/>
        <v>3540416000</v>
      </c>
      <c r="O21" s="267">
        <f t="shared" si="11"/>
        <v>3722548000</v>
      </c>
      <c r="P21" s="268">
        <f t="shared" si="11"/>
        <v>4053497000</v>
      </c>
      <c r="Q21" s="370"/>
      <c r="R21" s="370"/>
      <c r="S21" s="370"/>
      <c r="T21" s="370"/>
      <c r="U21" s="370"/>
      <c r="V21" s="370"/>
      <c r="W21" s="370"/>
    </row>
    <row r="22" spans="1:23" ht="5.15" customHeight="1" x14ac:dyDescent="0.25">
      <c r="A22" s="817"/>
      <c r="B22" s="251"/>
      <c r="C22" s="207"/>
      <c r="D22" s="207"/>
      <c r="E22" s="207"/>
      <c r="F22" s="207"/>
      <c r="G22" s="207"/>
      <c r="H22" s="207"/>
      <c r="I22" s="207"/>
      <c r="J22" s="207"/>
      <c r="K22" s="207"/>
      <c r="L22" s="207"/>
      <c r="M22" s="264"/>
      <c r="N22" s="251"/>
      <c r="O22" s="207"/>
      <c r="P22" s="264"/>
      <c r="Q22" s="370"/>
      <c r="R22" s="370"/>
      <c r="S22" s="370"/>
      <c r="T22" s="370"/>
      <c r="U22" s="370"/>
      <c r="V22" s="370"/>
      <c r="W22" s="370"/>
    </row>
    <row r="23" spans="1:23" ht="11.25" customHeight="1" x14ac:dyDescent="0.25">
      <c r="A23" s="372" t="s">
        <v>928</v>
      </c>
      <c r="B23" s="251"/>
      <c r="C23" s="207"/>
      <c r="D23" s="207"/>
      <c r="E23" s="207"/>
      <c r="F23" s="207"/>
      <c r="G23" s="207"/>
      <c r="H23" s="207"/>
      <c r="I23" s="207"/>
      <c r="J23" s="207"/>
      <c r="K23" s="207"/>
      <c r="L23" s="207"/>
      <c r="M23" s="264"/>
      <c r="N23" s="251"/>
      <c r="O23" s="207"/>
      <c r="P23" s="264"/>
      <c r="Q23" s="370"/>
      <c r="R23" s="370"/>
      <c r="S23" s="370"/>
      <c r="T23" s="370"/>
      <c r="U23" s="370"/>
      <c r="V23" s="370"/>
      <c r="W23" s="370"/>
    </row>
    <row r="24" spans="1:23" ht="11.25" customHeight="1" x14ac:dyDescent="0.25">
      <c r="A24" s="325" t="s">
        <v>566</v>
      </c>
      <c r="B24" s="1635"/>
      <c r="C24" s="1614">
        <f>N24*0.05</f>
        <v>13388000</v>
      </c>
      <c r="D24" s="1614">
        <f>N24*0.08</f>
        <v>21420800</v>
      </c>
      <c r="E24" s="1614">
        <f>N24*0.1</f>
        <v>26776000</v>
      </c>
      <c r="F24" s="1614">
        <f>N24*0.11</f>
        <v>29453600</v>
      </c>
      <c r="G24" s="1614">
        <f>N24*0.04</f>
        <v>10710400</v>
      </c>
      <c r="H24" s="1614">
        <f>N24*0.06</f>
        <v>16065600</v>
      </c>
      <c r="I24" s="1614">
        <f>N24*0.12</f>
        <v>32131200</v>
      </c>
      <c r="J24" s="1614">
        <f>N24*0.12</f>
        <v>32131200</v>
      </c>
      <c r="K24" s="1614">
        <f>N24*0.08</f>
        <v>21420800</v>
      </c>
      <c r="L24" s="1614">
        <f>51691000/2</f>
        <v>25845500</v>
      </c>
      <c r="M24" s="264">
        <f t="shared" ref="M24:M32" si="12">N24-SUM(B24:L24)</f>
        <v>38416900</v>
      </c>
      <c r="N24" s="1614">
        <v>267760000</v>
      </c>
      <c r="O24" s="1634">
        <v>172571000</v>
      </c>
      <c r="P24" s="1634">
        <v>184590000</v>
      </c>
      <c r="Q24" s="370"/>
      <c r="R24" s="370"/>
      <c r="S24" s="370"/>
      <c r="T24" s="370"/>
      <c r="U24" s="370"/>
      <c r="V24" s="370"/>
      <c r="W24" s="370"/>
    </row>
    <row r="25" spans="1:23" ht="11.25" customHeight="1" x14ac:dyDescent="0.25">
      <c r="A25" s="254" t="str">
        <f>'A4-FinPerf RE'!A40&amp;" &amp; "&amp;'A4-FinPerf RE'!A41</f>
        <v>Contributions recognised - capital &amp; Contributed assets</v>
      </c>
      <c r="B25" s="1635"/>
      <c r="C25" s="1614"/>
      <c r="D25" s="1614"/>
      <c r="E25" s="1614"/>
      <c r="F25" s="1614"/>
      <c r="G25" s="1614"/>
      <c r="H25" s="1614"/>
      <c r="I25" s="1614"/>
      <c r="J25" s="1614"/>
      <c r="K25" s="1614"/>
      <c r="L25" s="1614"/>
      <c r="M25" s="264">
        <f t="shared" si="12"/>
        <v>0</v>
      </c>
      <c r="N25" s="1635">
        <v>0</v>
      </c>
      <c r="O25" s="1614"/>
      <c r="P25" s="1634"/>
      <c r="Q25" s="370"/>
      <c r="R25" s="370"/>
      <c r="S25" s="370"/>
      <c r="T25" s="370"/>
      <c r="U25" s="370"/>
      <c r="V25" s="370"/>
      <c r="W25" s="370"/>
    </row>
    <row r="26" spans="1:23" ht="11.25" customHeight="1" x14ac:dyDescent="0.25">
      <c r="A26" s="254" t="str">
        <f>'A7-CFlow'!A19</f>
        <v>Proceeds on disposal of PPE</v>
      </c>
      <c r="B26" s="1635"/>
      <c r="C26" s="1614"/>
      <c r="D26" s="1614"/>
      <c r="E26" s="1614"/>
      <c r="F26" s="1614"/>
      <c r="G26" s="1614"/>
      <c r="H26" s="1614"/>
      <c r="I26" s="1614"/>
      <c r="J26" s="1614"/>
      <c r="K26" s="1614"/>
      <c r="L26" s="1614"/>
      <c r="M26" s="264"/>
      <c r="N26" s="1635" t="s">
        <v>2470</v>
      </c>
      <c r="O26" s="1614"/>
      <c r="P26" s="1634"/>
      <c r="Q26" s="370"/>
      <c r="R26" s="370"/>
      <c r="S26" s="370"/>
      <c r="T26" s="370"/>
      <c r="U26" s="370"/>
      <c r="V26" s="370"/>
      <c r="W26" s="370"/>
    </row>
    <row r="27" spans="1:23" ht="11.25" customHeight="1" x14ac:dyDescent="0.25">
      <c r="A27" s="254" t="str">
        <f>'A7-CFlow'!A29</f>
        <v>Short term loans</v>
      </c>
      <c r="B27" s="1635"/>
      <c r="C27" s="1614"/>
      <c r="D27" s="1614"/>
      <c r="E27" s="1614"/>
      <c r="F27" s="1614"/>
      <c r="G27" s="1614"/>
      <c r="H27" s="1614"/>
      <c r="I27" s="1614"/>
      <c r="J27" s="1614"/>
      <c r="K27" s="1614"/>
      <c r="L27" s="1614"/>
      <c r="M27" s="264">
        <f t="shared" si="12"/>
        <v>0</v>
      </c>
      <c r="N27" s="1635"/>
      <c r="O27" s="1614"/>
      <c r="P27" s="1634"/>
      <c r="Q27" s="370"/>
      <c r="R27" s="370"/>
      <c r="S27" s="370"/>
      <c r="T27" s="370"/>
      <c r="U27" s="370"/>
      <c r="V27" s="370"/>
      <c r="W27" s="370"/>
    </row>
    <row r="28" spans="1:23" ht="11.25" customHeight="1" x14ac:dyDescent="0.25">
      <c r="A28" s="254" t="str">
        <f>'A7-CFlow'!A30</f>
        <v>Borrowing long term/refinancing</v>
      </c>
      <c r="B28" s="1635"/>
      <c r="C28" s="1614"/>
      <c r="D28" s="1614"/>
      <c r="E28" s="1614"/>
      <c r="F28" s="1614"/>
      <c r="G28" s="1614"/>
      <c r="H28" s="1614"/>
      <c r="I28" s="1614"/>
      <c r="J28" s="1614"/>
      <c r="K28" s="1614"/>
      <c r="L28" s="1614"/>
      <c r="M28" s="264">
        <f t="shared" si="12"/>
        <v>0</v>
      </c>
      <c r="N28" s="1635"/>
      <c r="O28" s="1614"/>
      <c r="P28" s="1634"/>
      <c r="Q28" s="370"/>
      <c r="R28" s="370"/>
      <c r="S28" s="370"/>
      <c r="T28" s="370"/>
      <c r="U28" s="370"/>
      <c r="V28" s="370"/>
      <c r="W28" s="370"/>
    </row>
    <row r="29" spans="1:23" ht="11.25" customHeight="1" x14ac:dyDescent="0.25">
      <c r="A29" s="254" t="str">
        <f>'A7-CFlow'!A31</f>
        <v>Increase (decrease) in consumer deposits</v>
      </c>
      <c r="B29" s="1635"/>
      <c r="C29" s="1614"/>
      <c r="D29" s="1614"/>
      <c r="E29" s="1614"/>
      <c r="F29" s="1614"/>
      <c r="G29" s="1614"/>
      <c r="H29" s="1614"/>
      <c r="I29" s="1614"/>
      <c r="J29" s="1614"/>
      <c r="K29" s="1614"/>
      <c r="L29" s="1614"/>
      <c r="M29" s="264">
        <f t="shared" si="12"/>
        <v>0</v>
      </c>
      <c r="N29" s="1635"/>
      <c r="O29" s="1614"/>
      <c r="P29" s="1634"/>
      <c r="Q29" s="370"/>
      <c r="R29" s="370"/>
      <c r="S29" s="370"/>
      <c r="T29" s="370"/>
      <c r="U29" s="370"/>
      <c r="V29" s="370"/>
      <c r="W29" s="370"/>
    </row>
    <row r="30" spans="1:23" ht="11.25" customHeight="1" x14ac:dyDescent="0.25">
      <c r="A30" s="254" t="str">
        <f>'A7-CFlow'!A20</f>
        <v>Decrease (Increase) in non-current debtors</v>
      </c>
      <c r="B30" s="1635"/>
      <c r="C30" s="1614"/>
      <c r="D30" s="1614"/>
      <c r="E30" s="1614"/>
      <c r="F30" s="1614"/>
      <c r="G30" s="1614"/>
      <c r="H30" s="1614"/>
      <c r="I30" s="1614"/>
      <c r="J30" s="1614"/>
      <c r="K30" s="1614"/>
      <c r="L30" s="1614"/>
      <c r="M30" s="264">
        <f t="shared" si="12"/>
        <v>0</v>
      </c>
      <c r="N30" s="1635"/>
      <c r="O30" s="1614"/>
      <c r="P30" s="1634"/>
      <c r="Q30" s="370"/>
      <c r="R30" s="370"/>
      <c r="S30" s="370"/>
      <c r="T30" s="370"/>
      <c r="U30" s="370"/>
      <c r="V30" s="370"/>
      <c r="W30" s="370"/>
    </row>
    <row r="31" spans="1:23" ht="11.25" customHeight="1" x14ac:dyDescent="0.25">
      <c r="A31" s="254" t="str">
        <f>'A7-CFlow'!A21</f>
        <v>Decrease (increase) other non-current receivables</v>
      </c>
      <c r="B31" s="1635"/>
      <c r="C31" s="1614"/>
      <c r="D31" s="1614"/>
      <c r="E31" s="1614"/>
      <c r="F31" s="1614"/>
      <c r="G31" s="1614"/>
      <c r="H31" s="1614"/>
      <c r="I31" s="1614"/>
      <c r="J31" s="1614"/>
      <c r="K31" s="1614"/>
      <c r="L31" s="1614"/>
      <c r="M31" s="264">
        <f t="shared" si="12"/>
        <v>0</v>
      </c>
      <c r="N31" s="1635"/>
      <c r="O31" s="1614"/>
      <c r="P31" s="1634"/>
      <c r="Q31" s="370"/>
      <c r="R31" s="370"/>
      <c r="S31" s="370"/>
      <c r="T31" s="370"/>
      <c r="U31" s="370"/>
      <c r="V31" s="370"/>
      <c r="W31" s="370"/>
    </row>
    <row r="32" spans="1:23" ht="11.25" customHeight="1" x14ac:dyDescent="0.25">
      <c r="A32" s="254" t="str">
        <f>'A7-CFlow'!A22</f>
        <v>Decrease (increase) in non-current investments</v>
      </c>
      <c r="B32" s="1635"/>
      <c r="C32" s="1614"/>
      <c r="D32" s="1614"/>
      <c r="E32" s="1614"/>
      <c r="F32" s="1614"/>
      <c r="G32" s="1614"/>
      <c r="H32" s="1614"/>
      <c r="I32" s="1614"/>
      <c r="J32" s="1614"/>
      <c r="K32" s="1614"/>
      <c r="L32" s="1614"/>
      <c r="M32" s="264">
        <f t="shared" si="12"/>
        <v>0</v>
      </c>
      <c r="N32" s="1635"/>
      <c r="O32" s="1614"/>
      <c r="P32" s="1634"/>
      <c r="Q32" s="370"/>
      <c r="R32" s="370"/>
      <c r="S32" s="370"/>
      <c r="T32" s="370"/>
      <c r="U32" s="370"/>
      <c r="V32" s="370"/>
      <c r="W32" s="370"/>
    </row>
    <row r="33" spans="1:23" ht="11.25" customHeight="1" x14ac:dyDescent="0.25">
      <c r="A33" s="811" t="s">
        <v>713</v>
      </c>
      <c r="B33" s="815">
        <f t="shared" ref="B33:P33" si="13">SUM(B21:B32)</f>
        <v>292960450</v>
      </c>
      <c r="C33" s="813">
        <f t="shared" si="13"/>
        <v>401833790</v>
      </c>
      <c r="D33" s="813">
        <f t="shared" si="13"/>
        <v>398366590</v>
      </c>
      <c r="E33" s="813">
        <f t="shared" si="13"/>
        <v>300281790</v>
      </c>
      <c r="F33" s="813">
        <f t="shared" si="13"/>
        <v>286878500</v>
      </c>
      <c r="G33" s="813">
        <f t="shared" si="13"/>
        <v>187730850</v>
      </c>
      <c r="H33" s="813">
        <f t="shared" si="13"/>
        <v>273490500</v>
      </c>
      <c r="I33" s="813">
        <f t="shared" si="13"/>
        <v>281515655</v>
      </c>
      <c r="J33" s="813">
        <f t="shared" si="13"/>
        <v>273475210</v>
      </c>
      <c r="K33" s="813">
        <f t="shared" si="13"/>
        <v>341407030</v>
      </c>
      <c r="L33" s="813">
        <f t="shared" si="13"/>
        <v>342089500</v>
      </c>
      <c r="M33" s="814">
        <f t="shared" si="13"/>
        <v>428146135</v>
      </c>
      <c r="N33" s="815">
        <f t="shared" si="13"/>
        <v>3808176000</v>
      </c>
      <c r="O33" s="813">
        <f t="shared" si="13"/>
        <v>3895119000</v>
      </c>
      <c r="P33" s="814">
        <f t="shared" si="13"/>
        <v>4238087000</v>
      </c>
      <c r="Q33" s="370"/>
      <c r="R33" s="370"/>
      <c r="S33" s="370"/>
      <c r="T33" s="370"/>
      <c r="U33" s="370"/>
      <c r="V33" s="370"/>
      <c r="W33" s="370"/>
    </row>
    <row r="34" spans="1:23" ht="5.15" customHeight="1" x14ac:dyDescent="0.25">
      <c r="A34" s="882"/>
      <c r="B34" s="251"/>
      <c r="C34" s="207"/>
      <c r="D34" s="207"/>
      <c r="E34" s="207"/>
      <c r="F34" s="207"/>
      <c r="G34" s="207"/>
      <c r="H34" s="207"/>
      <c r="I34" s="207"/>
      <c r="J34" s="207"/>
      <c r="K34" s="207"/>
      <c r="L34" s="207"/>
      <c r="M34" s="264"/>
      <c r="N34" s="251"/>
      <c r="O34" s="207"/>
      <c r="P34" s="264"/>
      <c r="Q34" s="370"/>
      <c r="R34" s="370"/>
      <c r="S34" s="370"/>
      <c r="T34" s="370"/>
      <c r="U34" s="370"/>
      <c r="V34" s="370"/>
      <c r="W34" s="370"/>
    </row>
    <row r="35" spans="1:23" x14ac:dyDescent="0.25">
      <c r="A35" s="810" t="s">
        <v>1605</v>
      </c>
      <c r="B35" s="251"/>
      <c r="C35" s="207"/>
      <c r="D35" s="207"/>
      <c r="E35" s="207"/>
      <c r="F35" s="207"/>
      <c r="G35" s="207"/>
      <c r="H35" s="207"/>
      <c r="I35" s="207"/>
      <c r="J35" s="207"/>
      <c r="K35" s="207"/>
      <c r="L35" s="207"/>
      <c r="M35" s="264"/>
      <c r="N35" s="258"/>
      <c r="O35" s="207"/>
      <c r="P35" s="264"/>
      <c r="Q35" s="370"/>
      <c r="R35" s="370"/>
      <c r="S35" s="370"/>
      <c r="T35" s="370"/>
      <c r="U35" s="370"/>
      <c r="V35" s="370"/>
      <c r="W35" s="370"/>
    </row>
    <row r="36" spans="1:23" x14ac:dyDescent="0.25">
      <c r="A36" s="254" t="s">
        <v>475</v>
      </c>
      <c r="B36" s="1614">
        <f>N36/12</f>
        <v>64218333.333333336</v>
      </c>
      <c r="C36" s="1614">
        <f t="shared" ref="C36:L36" si="14">B36</f>
        <v>64218333.333333336</v>
      </c>
      <c r="D36" s="1614">
        <f t="shared" si="14"/>
        <v>64218333.333333336</v>
      </c>
      <c r="E36" s="1614">
        <f t="shared" si="14"/>
        <v>64218333.333333336</v>
      </c>
      <c r="F36" s="1614">
        <f t="shared" si="14"/>
        <v>64218333.333333336</v>
      </c>
      <c r="G36" s="1614">
        <f t="shared" si="14"/>
        <v>64218333.333333336</v>
      </c>
      <c r="H36" s="1614">
        <f t="shared" si="14"/>
        <v>64218333.333333336</v>
      </c>
      <c r="I36" s="1614">
        <f t="shared" si="14"/>
        <v>64218333.333333336</v>
      </c>
      <c r="J36" s="1614">
        <f t="shared" si="14"/>
        <v>64218333.333333336</v>
      </c>
      <c r="K36" s="1614">
        <f t="shared" si="14"/>
        <v>64218333.333333336</v>
      </c>
      <c r="L36" s="1614">
        <f t="shared" si="14"/>
        <v>64218333.333333336</v>
      </c>
      <c r="M36" s="264">
        <f t="shared" ref="M36:M45" si="15">N36-SUM(B36:L36)</f>
        <v>64218333.333333254</v>
      </c>
      <c r="N36" s="1635">
        <v>770620000</v>
      </c>
      <c r="O36" s="1614">
        <v>819228000</v>
      </c>
      <c r="P36" s="1634">
        <v>861560000</v>
      </c>
      <c r="Q36" s="370"/>
      <c r="R36" s="370"/>
      <c r="S36" s="370"/>
      <c r="T36" s="370"/>
      <c r="U36" s="370"/>
      <c r="V36" s="370"/>
      <c r="W36" s="370"/>
    </row>
    <row r="37" spans="1:23" x14ac:dyDescent="0.25">
      <c r="A37" s="254" t="s">
        <v>529</v>
      </c>
      <c r="B37" s="1614">
        <f>N37/12</f>
        <v>3034916.6666666665</v>
      </c>
      <c r="C37" s="1614">
        <f t="shared" ref="C37:L37" si="16">B37</f>
        <v>3034916.6666666665</v>
      </c>
      <c r="D37" s="1614">
        <f t="shared" si="16"/>
        <v>3034916.6666666665</v>
      </c>
      <c r="E37" s="1614">
        <f t="shared" si="16"/>
        <v>3034916.6666666665</v>
      </c>
      <c r="F37" s="1614">
        <f t="shared" si="16"/>
        <v>3034916.6666666665</v>
      </c>
      <c r="G37" s="1614">
        <f t="shared" si="16"/>
        <v>3034916.6666666665</v>
      </c>
      <c r="H37" s="1614">
        <f t="shared" si="16"/>
        <v>3034916.6666666665</v>
      </c>
      <c r="I37" s="1614">
        <f t="shared" si="16"/>
        <v>3034916.6666666665</v>
      </c>
      <c r="J37" s="1614">
        <f t="shared" si="16"/>
        <v>3034916.6666666665</v>
      </c>
      <c r="K37" s="1614">
        <f t="shared" si="16"/>
        <v>3034916.6666666665</v>
      </c>
      <c r="L37" s="1614">
        <f t="shared" si="16"/>
        <v>3034916.6666666665</v>
      </c>
      <c r="M37" s="264">
        <f t="shared" si="15"/>
        <v>3034916.6666666605</v>
      </c>
      <c r="N37" s="1614">
        <v>36419000</v>
      </c>
      <c r="O37" s="1634">
        <v>38422000</v>
      </c>
      <c r="P37" s="1634">
        <v>40535000</v>
      </c>
      <c r="Q37" s="370"/>
      <c r="R37" s="370"/>
      <c r="S37" s="370"/>
      <c r="T37" s="370"/>
      <c r="U37" s="370"/>
      <c r="V37" s="370"/>
      <c r="W37" s="370"/>
    </row>
    <row r="38" spans="1:23" x14ac:dyDescent="0.25">
      <c r="A38" s="254" t="s">
        <v>1549</v>
      </c>
      <c r="B38" s="1635">
        <f>N38*0.05</f>
        <v>3230000</v>
      </c>
      <c r="C38" s="1614">
        <f>N38*0.11</f>
        <v>7106000</v>
      </c>
      <c r="D38" s="1614">
        <f>N38*0.11</f>
        <v>7106000</v>
      </c>
      <c r="E38" s="1614">
        <f>N38*0.11</f>
        <v>7106000</v>
      </c>
      <c r="F38" s="1614">
        <f>N38*0.1</f>
        <v>6460000</v>
      </c>
      <c r="G38" s="1614">
        <f>N38*0.05</f>
        <v>3230000</v>
      </c>
      <c r="H38" s="1614">
        <f>N38*0.1</f>
        <v>6460000</v>
      </c>
      <c r="I38" s="1614">
        <f>N38*0.095</f>
        <v>6137000</v>
      </c>
      <c r="J38" s="1614">
        <f>N38*0.09</f>
        <v>5814000</v>
      </c>
      <c r="K38" s="1614">
        <f>N38*0.07</f>
        <v>4522000</v>
      </c>
      <c r="L38" s="1614">
        <f>8629000/2</f>
        <v>4314500</v>
      </c>
      <c r="M38" s="264">
        <f t="shared" si="15"/>
        <v>3114500</v>
      </c>
      <c r="N38" s="1614">
        <v>64600000</v>
      </c>
      <c r="O38" s="1634">
        <v>59255000</v>
      </c>
      <c r="P38" s="1634">
        <v>54480000</v>
      </c>
      <c r="Q38" s="370"/>
      <c r="R38" s="370"/>
      <c r="S38" s="370"/>
      <c r="T38" s="370"/>
      <c r="U38" s="370"/>
      <c r="V38" s="370"/>
      <c r="W38" s="370"/>
    </row>
    <row r="39" spans="1:23" x14ac:dyDescent="0.25">
      <c r="A39" s="254" t="s">
        <v>712</v>
      </c>
      <c r="B39" s="1635">
        <f>N39/7</f>
        <v>165838008.7142857</v>
      </c>
      <c r="C39" s="1635">
        <f>B39/2</f>
        <v>82919004.357142851</v>
      </c>
      <c r="D39" s="1635">
        <f>C39</f>
        <v>82919004.357142851</v>
      </c>
      <c r="E39" s="1614">
        <v>72100000</v>
      </c>
      <c r="F39" s="1614">
        <v>72100000</v>
      </c>
      <c r="G39" s="1614">
        <v>72100000</v>
      </c>
      <c r="H39" s="1614">
        <v>72100000</v>
      </c>
      <c r="I39" s="1614">
        <v>72100000</v>
      </c>
      <c r="J39" s="1614">
        <v>72100000</v>
      </c>
      <c r="K39" s="1614">
        <v>72100000</v>
      </c>
      <c r="L39" s="1635">
        <v>162245000</v>
      </c>
      <c r="M39" s="264">
        <f t="shared" si="15"/>
        <v>162245043.57142854</v>
      </c>
      <c r="N39" s="1614">
        <f>1160866061</f>
        <v>1160866061</v>
      </c>
      <c r="O39" s="1634">
        <f>1276952667-28691000+14167000</f>
        <v>1262428667</v>
      </c>
      <c r="P39" s="1634">
        <f>1404647933+243738000-272329000</f>
        <v>1376056933</v>
      </c>
      <c r="Q39" s="370"/>
      <c r="R39" s="370"/>
      <c r="S39" s="370"/>
      <c r="T39" s="370"/>
      <c r="U39" s="370"/>
      <c r="V39" s="370"/>
      <c r="W39" s="370"/>
    </row>
    <row r="40" spans="1:23" x14ac:dyDescent="0.25">
      <c r="A40" s="254" t="s">
        <v>715</v>
      </c>
      <c r="B40" s="1635">
        <f>N40/7</f>
        <v>51349851.428571425</v>
      </c>
      <c r="C40" s="1635">
        <f>B40/2</f>
        <v>25674925.714285713</v>
      </c>
      <c r="D40" s="1635">
        <f>C40</f>
        <v>25674925.714285713</v>
      </c>
      <c r="E40" s="1614">
        <v>15024300</v>
      </c>
      <c r="F40" s="1614">
        <v>15024300</v>
      </c>
      <c r="G40" s="1614">
        <v>15024300</v>
      </c>
      <c r="H40" s="1614">
        <v>15024300</v>
      </c>
      <c r="I40" s="1614">
        <v>15024300</v>
      </c>
      <c r="J40" s="1614">
        <v>15024300</v>
      </c>
      <c r="K40" s="1614">
        <v>15024300</v>
      </c>
      <c r="L40" s="1635">
        <v>75789000</v>
      </c>
      <c r="M40" s="264">
        <f t="shared" si="15"/>
        <v>75790157.142857134</v>
      </c>
      <c r="N40" s="1614">
        <v>359448960</v>
      </c>
      <c r="O40" s="1634">
        <v>388204877</v>
      </c>
      <c r="P40" s="1634">
        <v>419261267</v>
      </c>
      <c r="Q40" s="834"/>
      <c r="R40" s="370"/>
      <c r="S40" s="370"/>
      <c r="T40" s="370"/>
      <c r="U40" s="370"/>
      <c r="V40" s="370"/>
      <c r="W40" s="370"/>
    </row>
    <row r="41" spans="1:23" x14ac:dyDescent="0.25">
      <c r="A41" s="254" t="s">
        <v>1517</v>
      </c>
      <c r="B41" s="1635">
        <f>N41*0.05</f>
        <v>0</v>
      </c>
      <c r="C41" s="1614">
        <f>N41*0.11</f>
        <v>0</v>
      </c>
      <c r="D41" s="1614">
        <f>N41*0.11</f>
        <v>0</v>
      </c>
      <c r="E41" s="1614">
        <f>N41*0.11</f>
        <v>0</v>
      </c>
      <c r="F41" s="1614">
        <f>N41*0.1</f>
        <v>0</v>
      </c>
      <c r="G41" s="1614">
        <f>N41*0.05</f>
        <v>0</v>
      </c>
      <c r="H41" s="1614">
        <f>N41*0.1</f>
        <v>0</v>
      </c>
      <c r="I41" s="1614">
        <f>N41*0.095</f>
        <v>0</v>
      </c>
      <c r="J41" s="1614">
        <f>N41*0.09</f>
        <v>0</v>
      </c>
      <c r="K41" s="1614">
        <f t="shared" ref="K41:L45" si="17">N41*0.07</f>
        <v>0</v>
      </c>
      <c r="L41" s="1614">
        <f>1835000/2</f>
        <v>917500</v>
      </c>
      <c r="M41" s="264">
        <f t="shared" si="15"/>
        <v>-917500</v>
      </c>
      <c r="N41" s="1614">
        <v>0</v>
      </c>
      <c r="O41" s="1614">
        <v>0</v>
      </c>
      <c r="P41" s="1614">
        <v>0</v>
      </c>
      <c r="Q41" s="834"/>
      <c r="R41" s="370"/>
      <c r="S41" s="370"/>
      <c r="T41" s="370"/>
      <c r="U41" s="370"/>
      <c r="V41" s="370"/>
      <c r="W41" s="370"/>
    </row>
    <row r="42" spans="1:23" x14ac:dyDescent="0.25">
      <c r="A42" s="254" t="s">
        <v>478</v>
      </c>
      <c r="B42" s="1635">
        <f>N42*0.05</f>
        <v>839600</v>
      </c>
      <c r="C42" s="1614">
        <f>N42*0.11</f>
        <v>1847120</v>
      </c>
      <c r="D42" s="1614">
        <f>N42*0.11</f>
        <v>1847120</v>
      </c>
      <c r="E42" s="1614">
        <f>N42*0.11</f>
        <v>1847120</v>
      </c>
      <c r="F42" s="1614">
        <f>N42*0.1</f>
        <v>1679200</v>
      </c>
      <c r="G42" s="1614">
        <f>N42*0.05</f>
        <v>839600</v>
      </c>
      <c r="H42" s="1614">
        <f>N42*0.1</f>
        <v>1679200</v>
      </c>
      <c r="I42" s="1614">
        <f>N42*0.095</f>
        <v>1595240</v>
      </c>
      <c r="J42" s="1614">
        <f>N42*0.09</f>
        <v>1511280</v>
      </c>
      <c r="K42" s="1614">
        <f t="shared" si="17"/>
        <v>1175440</v>
      </c>
      <c r="L42" s="1614">
        <f>6854000/2</f>
        <v>3427000</v>
      </c>
      <c r="M42" s="264">
        <f t="shared" si="15"/>
        <v>-1495920</v>
      </c>
      <c r="N42" s="1635">
        <v>16792000</v>
      </c>
      <c r="O42" s="1614">
        <v>17678000</v>
      </c>
      <c r="P42" s="1634">
        <v>18556000</v>
      </c>
      <c r="Q42" s="370"/>
      <c r="R42" s="370"/>
      <c r="S42" s="370"/>
      <c r="T42" s="370"/>
      <c r="U42" s="370"/>
      <c r="V42" s="370"/>
      <c r="W42" s="370"/>
    </row>
    <row r="43" spans="1:23" x14ac:dyDescent="0.25">
      <c r="A43" s="254" t="s">
        <v>2060</v>
      </c>
      <c r="B43" s="1635">
        <f>N43*0.05</f>
        <v>0</v>
      </c>
      <c r="C43" s="1614">
        <f>N43*0.11</f>
        <v>0</v>
      </c>
      <c r="D43" s="1614">
        <f>N43*0.11</f>
        <v>0</v>
      </c>
      <c r="E43" s="1614">
        <f>N43*0.11</f>
        <v>0</v>
      </c>
      <c r="F43" s="1614">
        <f>N43*0.1</f>
        <v>0</v>
      </c>
      <c r="G43" s="1614">
        <f>N43*0.05</f>
        <v>0</v>
      </c>
      <c r="H43" s="1614">
        <f>N43*0.1</f>
        <v>0</v>
      </c>
      <c r="I43" s="1614">
        <f>N43*0.095</f>
        <v>0</v>
      </c>
      <c r="J43" s="1614">
        <f>N43*0.09</f>
        <v>0</v>
      </c>
      <c r="K43" s="1614">
        <f t="shared" si="17"/>
        <v>0</v>
      </c>
      <c r="L43" s="1614">
        <f t="shared" si="17"/>
        <v>0</v>
      </c>
      <c r="M43" s="264">
        <f t="shared" si="15"/>
        <v>0</v>
      </c>
      <c r="N43" s="1614">
        <v>0</v>
      </c>
      <c r="O43" s="1614">
        <v>0</v>
      </c>
      <c r="P43" s="1614">
        <v>0</v>
      </c>
      <c r="Q43" s="370"/>
      <c r="R43" s="370"/>
      <c r="S43" s="370"/>
      <c r="T43" s="370"/>
      <c r="U43" s="370"/>
      <c r="V43" s="370"/>
      <c r="W43" s="370"/>
    </row>
    <row r="44" spans="1:23" x14ac:dyDescent="0.25">
      <c r="A44" s="254" t="s">
        <v>2061</v>
      </c>
      <c r="B44" s="1635">
        <f>N44*0.05</f>
        <v>251350</v>
      </c>
      <c r="C44" s="1614">
        <f>N44*0.11</f>
        <v>552970</v>
      </c>
      <c r="D44" s="1614">
        <f>N44*0.11</f>
        <v>552970</v>
      </c>
      <c r="E44" s="1614">
        <f>N44*0.11</f>
        <v>552970</v>
      </c>
      <c r="F44" s="1614">
        <f>N44*0.1</f>
        <v>502700</v>
      </c>
      <c r="G44" s="1614">
        <f>N44*0.05</f>
        <v>251350</v>
      </c>
      <c r="H44" s="1614">
        <f>N44*0.1</f>
        <v>502700</v>
      </c>
      <c r="I44" s="1614">
        <f>N44*0.095</f>
        <v>477565</v>
      </c>
      <c r="J44" s="1614">
        <f>N44*0.09</f>
        <v>452430</v>
      </c>
      <c r="K44" s="1614">
        <f t="shared" si="17"/>
        <v>351890.00000000006</v>
      </c>
      <c r="L44" s="1614">
        <f>545000/2</f>
        <v>272500</v>
      </c>
      <c r="M44" s="264">
        <f t="shared" si="15"/>
        <v>305605</v>
      </c>
      <c r="N44" s="1635">
        <v>5027000</v>
      </c>
      <c r="O44" s="1614">
        <v>5274000</v>
      </c>
      <c r="P44" s="1634">
        <v>5563000</v>
      </c>
      <c r="Q44" s="370"/>
      <c r="R44" s="370"/>
      <c r="S44" s="370"/>
      <c r="T44" s="370"/>
      <c r="U44" s="370"/>
      <c r="V44" s="370"/>
      <c r="W44" s="370"/>
    </row>
    <row r="45" spans="1:23" x14ac:dyDescent="0.25">
      <c r="A45" s="254" t="s">
        <v>955</v>
      </c>
      <c r="B45" s="1635">
        <f>N45*0.05</f>
        <v>53002800</v>
      </c>
      <c r="C45" s="1614">
        <f>N45*0.11</f>
        <v>116606160</v>
      </c>
      <c r="D45" s="1614">
        <f>N45*0.11</f>
        <v>116606160</v>
      </c>
      <c r="E45" s="1614">
        <f>N45*0.11</f>
        <v>116606160</v>
      </c>
      <c r="F45" s="1614">
        <f>N45*0.1</f>
        <v>106005600</v>
      </c>
      <c r="G45" s="1614">
        <f>N45*0.05</f>
        <v>53002800</v>
      </c>
      <c r="H45" s="1614">
        <f>N45*0.1</f>
        <v>106005600</v>
      </c>
      <c r="I45" s="1614">
        <f>N45*0.095</f>
        <v>100705320</v>
      </c>
      <c r="J45" s="1614">
        <f>N45*0.09</f>
        <v>95405040</v>
      </c>
      <c r="K45" s="1614">
        <f t="shared" si="17"/>
        <v>74203920</v>
      </c>
      <c r="L45" s="1614">
        <f>49532000/2</f>
        <v>24766000</v>
      </c>
      <c r="M45" s="264">
        <f t="shared" si="15"/>
        <v>97140440</v>
      </c>
      <c r="N45" s="1635">
        <f>732946000+137510000+189600000</f>
        <v>1060056000</v>
      </c>
      <c r="O45" s="1614">
        <f>685871000+154111000+227520000</f>
        <v>1067502000</v>
      </c>
      <c r="P45" s="1634">
        <f>795825000+158637000+273024000</f>
        <v>1227486000</v>
      </c>
      <c r="Q45" s="370"/>
      <c r="R45" s="370"/>
      <c r="S45" s="370"/>
      <c r="T45" s="370"/>
      <c r="U45" s="370"/>
      <c r="V45" s="370"/>
      <c r="W45" s="370"/>
    </row>
    <row r="46" spans="1:23" x14ac:dyDescent="0.25">
      <c r="A46" s="650" t="s">
        <v>1605</v>
      </c>
      <c r="B46" s="269">
        <f t="shared" ref="B46:P46" si="18">SUM(B36:B45)</f>
        <v>341764860.14285713</v>
      </c>
      <c r="C46" s="267">
        <f t="shared" si="18"/>
        <v>301959430.07142854</v>
      </c>
      <c r="D46" s="267">
        <f t="shared" si="18"/>
        <v>301959430.07142854</v>
      </c>
      <c r="E46" s="267">
        <f t="shared" si="18"/>
        <v>280489800</v>
      </c>
      <c r="F46" s="267">
        <f t="shared" si="18"/>
        <v>269025050</v>
      </c>
      <c r="G46" s="267">
        <f t="shared" si="18"/>
        <v>211701300</v>
      </c>
      <c r="H46" s="267">
        <f t="shared" si="18"/>
        <v>269025050</v>
      </c>
      <c r="I46" s="267">
        <f t="shared" si="18"/>
        <v>263292675</v>
      </c>
      <c r="J46" s="267">
        <f t="shared" si="18"/>
        <v>257560300</v>
      </c>
      <c r="K46" s="267">
        <f t="shared" si="18"/>
        <v>234630800</v>
      </c>
      <c r="L46" s="267">
        <f t="shared" si="18"/>
        <v>338984750</v>
      </c>
      <c r="M46" s="268">
        <f t="shared" si="18"/>
        <v>403435575.71428561</v>
      </c>
      <c r="N46" s="269">
        <f t="shared" si="18"/>
        <v>3473829021</v>
      </c>
      <c r="O46" s="267">
        <f t="shared" si="18"/>
        <v>3657992544</v>
      </c>
      <c r="P46" s="268">
        <f t="shared" si="18"/>
        <v>4003498200</v>
      </c>
      <c r="Q46" s="370"/>
      <c r="R46" s="370"/>
      <c r="S46" s="370"/>
      <c r="T46" s="370"/>
      <c r="U46" s="370"/>
      <c r="V46" s="370"/>
      <c r="W46" s="370"/>
    </row>
    <row r="47" spans="1:23" ht="5.15" customHeight="1" x14ac:dyDescent="0.25">
      <c r="A47" s="817"/>
      <c r="B47" s="251"/>
      <c r="C47" s="207"/>
      <c r="D47" s="207"/>
      <c r="E47" s="207"/>
      <c r="F47" s="207"/>
      <c r="G47" s="207"/>
      <c r="H47" s="207"/>
      <c r="I47" s="207"/>
      <c r="J47" s="207"/>
      <c r="K47" s="207"/>
      <c r="L47" s="207"/>
      <c r="M47" s="264"/>
      <c r="N47" s="251"/>
      <c r="O47" s="207"/>
      <c r="P47" s="264"/>
      <c r="Q47" s="370"/>
      <c r="R47" s="370"/>
      <c r="S47" s="370"/>
      <c r="T47" s="370"/>
      <c r="U47" s="370"/>
      <c r="V47" s="370"/>
      <c r="W47" s="370"/>
    </row>
    <row r="48" spans="1:23" x14ac:dyDescent="0.25">
      <c r="A48" s="650" t="s">
        <v>303</v>
      </c>
      <c r="B48" s="251"/>
      <c r="C48" s="207"/>
      <c r="D48" s="207"/>
      <c r="E48" s="207"/>
      <c r="F48" s="207"/>
      <c r="G48" s="207"/>
      <c r="H48" s="207"/>
      <c r="I48" s="207"/>
      <c r="J48" s="207"/>
      <c r="K48" s="207"/>
      <c r="L48" s="207"/>
      <c r="M48" s="264"/>
      <c r="N48" s="251"/>
      <c r="O48" s="207"/>
      <c r="P48" s="264"/>
      <c r="Q48" s="370"/>
      <c r="R48" s="370"/>
      <c r="S48" s="370"/>
      <c r="T48" s="370"/>
      <c r="U48" s="370"/>
      <c r="V48" s="370"/>
      <c r="W48" s="370"/>
    </row>
    <row r="49" spans="1:23" x14ac:dyDescent="0.25">
      <c r="A49" s="254" t="str">
        <f>'A7-CFlow'!A24</f>
        <v>Capital assets</v>
      </c>
      <c r="B49" s="1635"/>
      <c r="C49" s="1614">
        <f>N49*0.05</f>
        <v>20782900</v>
      </c>
      <c r="D49" s="1614">
        <f>N49*0.08</f>
        <v>33252640</v>
      </c>
      <c r="E49" s="1614">
        <f>N49*0.1</f>
        <v>41565800</v>
      </c>
      <c r="F49" s="1614">
        <f>N49*0.11</f>
        <v>45722380</v>
      </c>
      <c r="G49" s="1614">
        <f>N49*0.04</f>
        <v>16626320</v>
      </c>
      <c r="H49" s="1614">
        <f>N49*0.06</f>
        <v>24939480</v>
      </c>
      <c r="I49" s="1614">
        <f>N49*0.12</f>
        <v>49878960</v>
      </c>
      <c r="J49" s="1614">
        <f>N49*0.12</f>
        <v>49878960</v>
      </c>
      <c r="K49" s="1614">
        <f>N49*0.08</f>
        <v>33252640</v>
      </c>
      <c r="L49" s="1614">
        <f>51691000/2</f>
        <v>25845500</v>
      </c>
      <c r="M49" s="264">
        <f>N49-SUM(B49:L49)</f>
        <v>73912420</v>
      </c>
      <c r="N49" s="1614">
        <v>415658000</v>
      </c>
      <c r="O49" s="1634">
        <v>194271000</v>
      </c>
      <c r="P49" s="1634">
        <v>192390000</v>
      </c>
      <c r="Q49" s="370"/>
      <c r="R49" s="370"/>
      <c r="S49" s="370"/>
      <c r="T49" s="370"/>
      <c r="U49" s="370"/>
      <c r="V49" s="370"/>
      <c r="W49" s="370"/>
    </row>
    <row r="50" spans="1:23" x14ac:dyDescent="0.25">
      <c r="A50" s="254" t="str">
        <f>'A7-CFlow'!A33</f>
        <v>Repayment of borrowing</v>
      </c>
      <c r="B50" s="1635"/>
      <c r="C50" s="1614"/>
      <c r="D50" s="1614"/>
      <c r="E50" s="1614"/>
      <c r="F50" s="1614"/>
      <c r="G50" s="1614"/>
      <c r="H50" s="1614"/>
      <c r="I50" s="1614"/>
      <c r="J50" s="1614"/>
      <c r="K50" s="1614"/>
      <c r="L50" s="1614"/>
      <c r="M50" s="264">
        <f>N50-SUM(B50:L50)</f>
        <v>0</v>
      </c>
      <c r="N50" s="1635"/>
      <c r="O50" s="1614"/>
      <c r="P50" s="1634"/>
      <c r="Q50" s="370"/>
      <c r="R50" s="370"/>
      <c r="S50" s="370"/>
      <c r="T50" s="370"/>
      <c r="U50" s="370"/>
      <c r="V50" s="370"/>
      <c r="W50" s="370"/>
    </row>
    <row r="51" spans="1:23" x14ac:dyDescent="0.25">
      <c r="A51" s="254" t="str">
        <f>LEFT(A48,25)</f>
        <v>Other Cash Flows/Payments</v>
      </c>
      <c r="B51" s="1635"/>
      <c r="C51" s="1614"/>
      <c r="D51" s="1614"/>
      <c r="E51" s="1614"/>
      <c r="F51" s="1614"/>
      <c r="G51" s="1614"/>
      <c r="H51" s="1614"/>
      <c r="I51" s="1614"/>
      <c r="J51" s="1614"/>
      <c r="K51" s="1614"/>
      <c r="L51" s="1614"/>
      <c r="M51" s="264">
        <f>N51-SUM(B51:L51)</f>
        <v>0</v>
      </c>
      <c r="N51" s="1635"/>
      <c r="O51" s="1614"/>
      <c r="P51" s="1634"/>
      <c r="Q51" s="370"/>
      <c r="R51" s="370"/>
      <c r="S51" s="370"/>
      <c r="T51" s="370"/>
      <c r="U51" s="370"/>
      <c r="V51" s="370"/>
      <c r="W51" s="370"/>
    </row>
    <row r="52" spans="1:23" x14ac:dyDescent="0.25">
      <c r="A52" s="811" t="s">
        <v>714</v>
      </c>
      <c r="B52" s="815">
        <f>SUM(B46:B51)</f>
        <v>341764860.14285713</v>
      </c>
      <c r="C52" s="813">
        <f t="shared" ref="C52:P52" si="19">SUM(C46:C51)</f>
        <v>322742330.07142854</v>
      </c>
      <c r="D52" s="813">
        <f t="shared" si="19"/>
        <v>335212070.07142854</v>
      </c>
      <c r="E52" s="813">
        <f t="shared" si="19"/>
        <v>322055600</v>
      </c>
      <c r="F52" s="813">
        <f t="shared" si="19"/>
        <v>314747430</v>
      </c>
      <c r="G52" s="813">
        <f t="shared" si="19"/>
        <v>228327620</v>
      </c>
      <c r="H52" s="813">
        <f t="shared" si="19"/>
        <v>293964530</v>
      </c>
      <c r="I52" s="813">
        <f t="shared" si="19"/>
        <v>313171635</v>
      </c>
      <c r="J52" s="813">
        <f t="shared" si="19"/>
        <v>307439260</v>
      </c>
      <c r="K52" s="813">
        <f t="shared" si="19"/>
        <v>267883440</v>
      </c>
      <c r="L52" s="813">
        <f t="shared" si="19"/>
        <v>364830250</v>
      </c>
      <c r="M52" s="814">
        <f t="shared" si="19"/>
        <v>477347995.71428561</v>
      </c>
      <c r="N52" s="815">
        <f t="shared" si="19"/>
        <v>3889487021</v>
      </c>
      <c r="O52" s="813">
        <f t="shared" si="19"/>
        <v>3852263544</v>
      </c>
      <c r="P52" s="814">
        <f t="shared" si="19"/>
        <v>4195888200</v>
      </c>
      <c r="Q52" s="370"/>
      <c r="R52" s="883" t="s">
        <v>547</v>
      </c>
      <c r="S52" s="370"/>
      <c r="T52" s="370"/>
      <c r="U52" s="370"/>
      <c r="V52" s="370"/>
      <c r="W52" s="370"/>
    </row>
    <row r="53" spans="1:23" ht="5.15" customHeight="1" x14ac:dyDescent="0.25">
      <c r="A53" s="817"/>
      <c r="B53" s="251"/>
      <c r="C53" s="207"/>
      <c r="D53" s="207"/>
      <c r="E53" s="207"/>
      <c r="F53" s="207"/>
      <c r="G53" s="207"/>
      <c r="H53" s="207"/>
      <c r="I53" s="207"/>
      <c r="J53" s="207"/>
      <c r="K53" s="207"/>
      <c r="L53" s="207"/>
      <c r="M53" s="264"/>
      <c r="N53" s="251"/>
      <c r="O53" s="207"/>
      <c r="P53" s="264"/>
      <c r="Q53" s="370"/>
      <c r="R53" s="370"/>
      <c r="S53" s="370"/>
      <c r="T53" s="370"/>
      <c r="U53" s="370"/>
      <c r="V53" s="370"/>
      <c r="W53" s="370"/>
    </row>
    <row r="54" spans="1:23" s="769" customFormat="1" ht="11" thickBot="1" x14ac:dyDescent="0.3">
      <c r="A54" s="884" t="s">
        <v>397</v>
      </c>
      <c r="B54" s="885">
        <f t="shared" ref="B54:P54" si="20">B33-B52</f>
        <v>-48804410.142857134</v>
      </c>
      <c r="C54" s="886">
        <f t="shared" si="20"/>
        <v>79091459.928571463</v>
      </c>
      <c r="D54" s="886">
        <f t="shared" si="20"/>
        <v>63154519.928571463</v>
      </c>
      <c r="E54" s="886">
        <f t="shared" si="20"/>
        <v>-21773810</v>
      </c>
      <c r="F54" s="886">
        <f t="shared" si="20"/>
        <v>-27868930</v>
      </c>
      <c r="G54" s="886">
        <f t="shared" si="20"/>
        <v>-40596770</v>
      </c>
      <c r="H54" s="886">
        <f t="shared" si="20"/>
        <v>-20474030</v>
      </c>
      <c r="I54" s="886">
        <f t="shared" si="20"/>
        <v>-31655980</v>
      </c>
      <c r="J54" s="886">
        <f t="shared" si="20"/>
        <v>-33964050</v>
      </c>
      <c r="K54" s="886">
        <f t="shared" si="20"/>
        <v>73523590</v>
      </c>
      <c r="L54" s="886">
        <f t="shared" si="20"/>
        <v>-22740750</v>
      </c>
      <c r="M54" s="887">
        <f t="shared" si="20"/>
        <v>-49201860.714285612</v>
      </c>
      <c r="N54" s="885">
        <f t="shared" si="20"/>
        <v>-81311021</v>
      </c>
      <c r="O54" s="886">
        <f t="shared" si="20"/>
        <v>42855456</v>
      </c>
      <c r="P54" s="887">
        <f t="shared" si="20"/>
        <v>42198800</v>
      </c>
      <c r="Q54" s="888"/>
      <c r="R54" s="889"/>
      <c r="S54" s="890"/>
      <c r="T54" s="891"/>
      <c r="U54" s="891"/>
      <c r="V54" s="891"/>
      <c r="W54" s="891"/>
    </row>
    <row r="55" spans="1:23" ht="10.5" customHeight="1" x14ac:dyDescent="0.25">
      <c r="A55" s="817" t="s">
        <v>961</v>
      </c>
      <c r="B55" s="1957"/>
      <c r="C55" s="365">
        <f>B56</f>
        <v>-48804410.142857134</v>
      </c>
      <c r="D55" s="365">
        <f t="shared" ref="D55:M55" si="21">C56</f>
        <v>30287049.785714328</v>
      </c>
      <c r="E55" s="365">
        <f t="shared" si="21"/>
        <v>93441569.714285791</v>
      </c>
      <c r="F55" s="365">
        <f t="shared" si="21"/>
        <v>71667759.714285791</v>
      </c>
      <c r="G55" s="365">
        <f t="shared" si="21"/>
        <v>43798829.714285791</v>
      </c>
      <c r="H55" s="365">
        <f t="shared" si="21"/>
        <v>3202059.7142857909</v>
      </c>
      <c r="I55" s="365">
        <f t="shared" si="21"/>
        <v>-17271970.285714209</v>
      </c>
      <c r="J55" s="365">
        <f t="shared" si="21"/>
        <v>-48927950.285714209</v>
      </c>
      <c r="K55" s="365">
        <f t="shared" si="21"/>
        <v>-82892000.285714209</v>
      </c>
      <c r="L55" s="365">
        <f t="shared" si="21"/>
        <v>-9368410.2857142091</v>
      </c>
      <c r="M55" s="366">
        <f t="shared" si="21"/>
        <v>-32109160.285714209</v>
      </c>
      <c r="N55" s="367">
        <f>M56</f>
        <v>-81311020.999999821</v>
      </c>
      <c r="O55" s="365">
        <f>N56</f>
        <v>-162622041.99999982</v>
      </c>
      <c r="P55" s="366">
        <f>O56</f>
        <v>-119766585.99999982</v>
      </c>
      <c r="Q55" s="370"/>
      <c r="R55" s="370"/>
      <c r="S55" s="370"/>
      <c r="T55" s="370"/>
      <c r="U55" s="370"/>
      <c r="V55" s="370"/>
      <c r="W55" s="370"/>
    </row>
    <row r="56" spans="1:23" ht="10.5" customHeight="1" x14ac:dyDescent="0.25">
      <c r="A56" s="892" t="s">
        <v>960</v>
      </c>
      <c r="B56" s="893">
        <f>B55+B54</f>
        <v>-48804410.142857134</v>
      </c>
      <c r="C56" s="894">
        <f>C55+C54</f>
        <v>30287049.785714328</v>
      </c>
      <c r="D56" s="894">
        <f t="shared" ref="D56:P56" si="22">D55+D54</f>
        <v>93441569.714285791</v>
      </c>
      <c r="E56" s="894">
        <f t="shared" si="22"/>
        <v>71667759.714285791</v>
      </c>
      <c r="F56" s="894">
        <f t="shared" si="22"/>
        <v>43798829.714285791</v>
      </c>
      <c r="G56" s="894">
        <f t="shared" si="22"/>
        <v>3202059.7142857909</v>
      </c>
      <c r="H56" s="894">
        <f t="shared" si="22"/>
        <v>-17271970.285714209</v>
      </c>
      <c r="I56" s="894">
        <f t="shared" si="22"/>
        <v>-48927950.285714209</v>
      </c>
      <c r="J56" s="894">
        <f t="shared" si="22"/>
        <v>-82892000.285714209</v>
      </c>
      <c r="K56" s="894">
        <f t="shared" si="22"/>
        <v>-9368410.2857142091</v>
      </c>
      <c r="L56" s="894">
        <f t="shared" si="22"/>
        <v>-32109160.285714209</v>
      </c>
      <c r="M56" s="895">
        <f t="shared" si="22"/>
        <v>-81311020.999999821</v>
      </c>
      <c r="N56" s="893">
        <f t="shared" si="22"/>
        <v>-162622041.99999982</v>
      </c>
      <c r="O56" s="894">
        <f t="shared" si="22"/>
        <v>-119766585.99999982</v>
      </c>
      <c r="P56" s="895">
        <f t="shared" si="22"/>
        <v>-77567785.999999821</v>
      </c>
      <c r="Q56" s="370"/>
      <c r="R56" s="370"/>
      <c r="S56" s="370"/>
      <c r="T56" s="370"/>
      <c r="U56" s="370"/>
      <c r="V56" s="370"/>
      <c r="W56" s="370"/>
    </row>
    <row r="57" spans="1:23" ht="10.5" customHeight="1" x14ac:dyDescent="0.25">
      <c r="A57" s="1192" t="str">
        <f>head27a</f>
        <v>References</v>
      </c>
      <c r="B57" s="370"/>
      <c r="C57" s="370"/>
      <c r="D57" s="370"/>
      <c r="E57" s="370"/>
      <c r="F57" s="370"/>
      <c r="G57" s="370"/>
      <c r="H57" s="370"/>
      <c r="I57" s="370"/>
      <c r="J57" s="370"/>
      <c r="K57" s="370"/>
      <c r="L57" s="370"/>
      <c r="M57" s="370"/>
      <c r="N57" s="370"/>
      <c r="O57" s="370"/>
      <c r="P57" s="370"/>
      <c r="Q57" s="370"/>
      <c r="R57" s="370"/>
      <c r="S57" s="370"/>
      <c r="T57" s="370"/>
      <c r="U57" s="370"/>
      <c r="V57" s="370"/>
      <c r="W57" s="370"/>
    </row>
    <row r="58" spans="1:23" ht="10.5" customHeight="1" x14ac:dyDescent="0.25">
      <c r="A58" s="1194" t="s">
        <v>822</v>
      </c>
      <c r="B58" s="370"/>
      <c r="C58" s="370"/>
      <c r="D58" s="370"/>
      <c r="E58" s="370"/>
      <c r="F58" s="370"/>
      <c r="G58" s="370"/>
      <c r="H58" s="370"/>
      <c r="I58" s="370"/>
      <c r="J58" s="370"/>
      <c r="K58" s="370"/>
      <c r="L58" s="370"/>
      <c r="M58" s="370"/>
      <c r="N58" s="370"/>
      <c r="O58" s="370"/>
      <c r="P58" s="370"/>
      <c r="Q58" s="370"/>
      <c r="R58" s="370"/>
      <c r="S58" s="370"/>
      <c r="T58" s="370"/>
      <c r="U58" s="370"/>
      <c r="V58" s="370"/>
      <c r="W58" s="370"/>
    </row>
    <row r="59" spans="1:23" ht="10.5" customHeight="1" x14ac:dyDescent="0.25">
      <c r="A59" s="370"/>
      <c r="B59" s="370"/>
      <c r="C59" s="370"/>
      <c r="D59" s="370"/>
      <c r="E59" s="370"/>
      <c r="F59" s="370"/>
      <c r="G59" s="370"/>
      <c r="H59" s="370"/>
      <c r="I59" s="370"/>
      <c r="J59" s="370"/>
      <c r="K59" s="370"/>
      <c r="L59" s="370"/>
      <c r="M59" s="370"/>
      <c r="N59" s="370"/>
      <c r="O59" s="370"/>
      <c r="P59" s="370"/>
      <c r="Q59" s="370"/>
      <c r="R59" s="370"/>
      <c r="S59" s="370"/>
      <c r="T59" s="370"/>
      <c r="U59" s="370"/>
      <c r="V59" s="370"/>
      <c r="W59" s="370"/>
    </row>
    <row r="60" spans="1:23" ht="10.5" customHeight="1" x14ac:dyDescent="0.25">
      <c r="A60" s="370"/>
      <c r="B60" s="370"/>
      <c r="C60" s="370"/>
      <c r="D60" s="370"/>
      <c r="E60" s="370"/>
      <c r="F60" s="370"/>
      <c r="G60" s="370"/>
      <c r="H60" s="370"/>
      <c r="I60" s="370"/>
      <c r="J60" s="370"/>
      <c r="K60" s="370"/>
      <c r="L60" s="370"/>
      <c r="M60" s="370"/>
      <c r="N60" s="370"/>
      <c r="O60" s="370"/>
      <c r="P60" s="370"/>
      <c r="Q60" s="370"/>
      <c r="R60" s="370"/>
      <c r="S60" s="370"/>
      <c r="T60" s="370"/>
      <c r="U60" s="370"/>
      <c r="V60" s="370"/>
      <c r="W60" s="370"/>
    </row>
    <row r="61" spans="1:23" x14ac:dyDescent="0.25">
      <c r="A61" s="370"/>
      <c r="B61" s="370"/>
      <c r="C61" s="370"/>
      <c r="D61" s="370"/>
      <c r="E61" s="370"/>
      <c r="F61" s="370"/>
      <c r="G61" s="370"/>
      <c r="H61" s="370"/>
      <c r="I61" s="370"/>
      <c r="J61" s="370"/>
      <c r="K61" s="370"/>
      <c r="L61" s="370"/>
      <c r="M61" s="370"/>
      <c r="N61" s="370"/>
      <c r="O61" s="370"/>
      <c r="P61" s="370"/>
      <c r="Q61" s="370"/>
      <c r="R61" s="370"/>
      <c r="S61" s="370"/>
      <c r="T61" s="370"/>
      <c r="U61" s="370"/>
      <c r="V61" s="370"/>
      <c r="W61" s="370"/>
    </row>
    <row r="62" spans="1:23" x14ac:dyDescent="0.25">
      <c r="A62" s="370"/>
      <c r="B62" s="370"/>
      <c r="C62" s="370"/>
      <c r="D62" s="370"/>
      <c r="E62" s="363"/>
      <c r="F62" s="363"/>
      <c r="G62" s="363"/>
      <c r="H62" s="363"/>
      <c r="I62" s="363"/>
      <c r="J62" s="363"/>
      <c r="K62" s="363"/>
      <c r="L62" s="363"/>
      <c r="M62" s="363"/>
      <c r="N62" s="370"/>
      <c r="O62" s="370"/>
      <c r="P62" s="370"/>
      <c r="Q62" s="370"/>
      <c r="R62" s="370"/>
      <c r="S62" s="370"/>
      <c r="T62" s="370"/>
      <c r="U62" s="370"/>
      <c r="V62" s="370"/>
      <c r="W62" s="370"/>
    </row>
    <row r="63" spans="1:23" x14ac:dyDescent="0.25">
      <c r="A63" s="370"/>
      <c r="B63" s="370"/>
      <c r="C63" s="370"/>
      <c r="D63" s="370"/>
      <c r="E63" s="834">
        <f t="shared" ref="E63:P63" si="23">E46+E62</f>
        <v>280489800</v>
      </c>
      <c r="F63" s="834">
        <f t="shared" si="23"/>
        <v>269025050</v>
      </c>
      <c r="G63" s="834">
        <f t="shared" si="23"/>
        <v>211701300</v>
      </c>
      <c r="H63" s="834">
        <f t="shared" si="23"/>
        <v>269025050</v>
      </c>
      <c r="I63" s="834">
        <f t="shared" si="23"/>
        <v>263292675</v>
      </c>
      <c r="J63" s="834">
        <f t="shared" si="23"/>
        <v>257560300</v>
      </c>
      <c r="K63" s="834">
        <f t="shared" si="23"/>
        <v>234630800</v>
      </c>
      <c r="L63" s="834">
        <f t="shared" si="23"/>
        <v>338984750</v>
      </c>
      <c r="M63" s="834">
        <f t="shared" si="23"/>
        <v>403435575.71428561</v>
      </c>
      <c r="N63" s="834">
        <f t="shared" si="23"/>
        <v>3473829021</v>
      </c>
      <c r="O63" s="834">
        <f t="shared" si="23"/>
        <v>3657992544</v>
      </c>
      <c r="P63" s="834">
        <f t="shared" si="23"/>
        <v>4003498200</v>
      </c>
      <c r="Q63" s="370"/>
      <c r="R63" s="370"/>
      <c r="S63" s="370"/>
      <c r="T63" s="370"/>
      <c r="U63" s="370"/>
      <c r="V63" s="370"/>
      <c r="W63" s="370"/>
    </row>
    <row r="64" spans="1:23" x14ac:dyDescent="0.25">
      <c r="A64" s="370"/>
      <c r="B64" s="370"/>
      <c r="C64" s="370"/>
      <c r="D64" s="370"/>
      <c r="E64" s="834">
        <f t="shared" ref="E64:P64" si="24">E54-E62</f>
        <v>-21773810</v>
      </c>
      <c r="F64" s="834">
        <f t="shared" si="24"/>
        <v>-27868930</v>
      </c>
      <c r="G64" s="834">
        <f t="shared" si="24"/>
        <v>-40596770</v>
      </c>
      <c r="H64" s="834">
        <f t="shared" si="24"/>
        <v>-20474030</v>
      </c>
      <c r="I64" s="834">
        <f t="shared" si="24"/>
        <v>-31655980</v>
      </c>
      <c r="J64" s="834">
        <f t="shared" si="24"/>
        <v>-33964050</v>
      </c>
      <c r="K64" s="834">
        <f t="shared" si="24"/>
        <v>73523590</v>
      </c>
      <c r="L64" s="834">
        <f t="shared" si="24"/>
        <v>-22740750</v>
      </c>
      <c r="M64" s="834">
        <f t="shared" si="24"/>
        <v>-49201860.714285612</v>
      </c>
      <c r="N64" s="834">
        <f t="shared" si="24"/>
        <v>-81311021</v>
      </c>
      <c r="O64" s="834">
        <f t="shared" si="24"/>
        <v>42855456</v>
      </c>
      <c r="P64" s="834">
        <f t="shared" si="24"/>
        <v>42198800</v>
      </c>
      <c r="Q64" s="370"/>
      <c r="R64" s="370"/>
      <c r="S64" s="370"/>
      <c r="T64" s="370"/>
      <c r="U64" s="370"/>
      <c r="V64" s="370"/>
      <c r="W64" s="370"/>
    </row>
    <row r="65" spans="1:23" x14ac:dyDescent="0.25">
      <c r="A65" s="370"/>
      <c r="B65" s="370"/>
      <c r="C65" s="370"/>
      <c r="D65" s="370"/>
      <c r="E65" s="370"/>
      <c r="F65" s="370"/>
      <c r="G65" s="370"/>
      <c r="H65" s="370"/>
      <c r="I65" s="370"/>
      <c r="J65" s="370"/>
      <c r="K65" s="370"/>
      <c r="L65" s="370"/>
      <c r="M65" s="370"/>
      <c r="N65" s="370"/>
      <c r="O65" s="370"/>
      <c r="P65" s="370"/>
      <c r="Q65" s="370"/>
      <c r="R65" s="370"/>
      <c r="S65" s="370"/>
      <c r="T65" s="370"/>
      <c r="U65" s="370"/>
      <c r="V65" s="370"/>
      <c r="W65" s="370"/>
    </row>
    <row r="66" spans="1:23" x14ac:dyDescent="0.25">
      <c r="A66" s="370"/>
      <c r="B66" s="370"/>
      <c r="C66" s="370"/>
      <c r="D66" s="370"/>
      <c r="E66" s="370"/>
      <c r="F66" s="370"/>
      <c r="G66" s="370"/>
      <c r="H66" s="370"/>
      <c r="I66" s="370"/>
      <c r="J66" s="370"/>
      <c r="K66" s="370"/>
      <c r="L66" s="370"/>
      <c r="M66" s="370"/>
      <c r="N66" s="370"/>
      <c r="O66" s="370"/>
      <c r="P66" s="370"/>
      <c r="Q66" s="370"/>
      <c r="R66" s="370"/>
      <c r="S66" s="370"/>
      <c r="T66" s="370"/>
      <c r="U66" s="370"/>
      <c r="V66" s="370"/>
      <c r="W66" s="370"/>
    </row>
    <row r="67" spans="1:23" x14ac:dyDescent="0.25">
      <c r="A67" s="370"/>
      <c r="B67" s="370"/>
      <c r="C67" s="370"/>
      <c r="D67" s="370"/>
      <c r="E67" s="370"/>
      <c r="F67" s="370"/>
      <c r="G67" s="370"/>
      <c r="H67" s="370"/>
      <c r="I67" s="370"/>
      <c r="J67" s="370"/>
      <c r="K67" s="370"/>
      <c r="L67" s="370"/>
      <c r="M67" s="370"/>
      <c r="N67" s="370"/>
      <c r="O67" s="370"/>
      <c r="P67" s="370"/>
      <c r="Q67" s="370"/>
      <c r="R67" s="370"/>
      <c r="S67" s="370"/>
      <c r="T67" s="370"/>
      <c r="U67" s="370"/>
      <c r="V67" s="370"/>
      <c r="W67" s="370"/>
    </row>
    <row r="68" spans="1:23" x14ac:dyDescent="0.25">
      <c r="A68" s="370"/>
      <c r="B68" s="370"/>
      <c r="C68" s="370"/>
      <c r="D68" s="370"/>
      <c r="E68" s="370"/>
      <c r="F68" s="370"/>
      <c r="G68" s="370"/>
      <c r="H68" s="370"/>
      <c r="I68" s="370"/>
      <c r="J68" s="370"/>
      <c r="K68" s="370"/>
      <c r="L68" s="370"/>
      <c r="M68" s="370"/>
      <c r="N68" s="370"/>
      <c r="O68" s="370"/>
      <c r="P68" s="370"/>
      <c r="Q68" s="370"/>
      <c r="R68" s="370"/>
      <c r="S68" s="370"/>
      <c r="T68" s="370"/>
      <c r="U68" s="370"/>
      <c r="V68" s="370"/>
      <c r="W68" s="370"/>
    </row>
    <row r="69" spans="1:23" x14ac:dyDescent="0.25">
      <c r="A69" s="370"/>
      <c r="B69" s="370"/>
      <c r="C69" s="370"/>
      <c r="D69" s="370"/>
      <c r="E69" s="370"/>
      <c r="F69" s="370"/>
      <c r="G69" s="370"/>
      <c r="H69" s="370"/>
      <c r="I69" s="370"/>
      <c r="J69" s="370"/>
      <c r="K69" s="370"/>
      <c r="L69" s="370"/>
      <c r="M69" s="370"/>
      <c r="N69" s="370"/>
      <c r="O69" s="370"/>
      <c r="P69" s="370"/>
      <c r="Q69" s="370"/>
      <c r="R69" s="370"/>
      <c r="S69" s="370"/>
      <c r="T69" s="370"/>
      <c r="U69" s="370"/>
      <c r="V69" s="370"/>
      <c r="W69" s="370"/>
    </row>
    <row r="189" spans="2:44" x14ac:dyDescent="0.25">
      <c r="B189" s="245"/>
      <c r="C189" s="245"/>
      <c r="D189" s="245"/>
      <c r="E189" s="245"/>
      <c r="F189" s="245"/>
      <c r="G189" s="245"/>
      <c r="H189" s="245"/>
      <c r="I189" s="245"/>
      <c r="J189" s="245"/>
      <c r="K189" s="245"/>
      <c r="L189" s="245"/>
      <c r="N189" s="310"/>
      <c r="O189" s="310"/>
      <c r="P189" s="310"/>
      <c r="Q189" s="310"/>
      <c r="R189" s="310"/>
      <c r="S189" s="310"/>
      <c r="AH189" s="310"/>
      <c r="AI189" s="310"/>
      <c r="AJ189" s="310"/>
      <c r="AK189" s="310"/>
      <c r="AL189" s="310"/>
      <c r="AM189" s="310"/>
      <c r="AN189" s="310"/>
      <c r="AO189" s="310"/>
      <c r="AP189" s="310"/>
      <c r="AQ189" s="310"/>
      <c r="AR189" s="310"/>
    </row>
    <row r="190" spans="2:44" x14ac:dyDescent="0.25">
      <c r="N190" s="310"/>
      <c r="O190" s="310"/>
      <c r="P190" s="310"/>
      <c r="Q190" s="310"/>
      <c r="R190" s="310"/>
      <c r="S190" s="310"/>
      <c r="AH190" s="310"/>
      <c r="AI190" s="310"/>
      <c r="AJ190" s="310"/>
      <c r="AK190" s="310"/>
      <c r="AL190" s="310"/>
      <c r="AM190" s="310"/>
      <c r="AN190" s="310"/>
      <c r="AO190" s="310"/>
      <c r="AP190" s="310"/>
      <c r="AQ190" s="310"/>
      <c r="AR190" s="310"/>
    </row>
    <row r="191" spans="2:44" x14ac:dyDescent="0.25">
      <c r="N191" s="310"/>
      <c r="O191" s="310"/>
      <c r="P191" s="310"/>
      <c r="Q191" s="310"/>
      <c r="R191" s="310"/>
      <c r="S191" s="310"/>
      <c r="AH191" s="310"/>
      <c r="AI191" s="310"/>
      <c r="AJ191" s="310"/>
      <c r="AK191" s="310"/>
      <c r="AL191" s="310"/>
      <c r="AM191" s="310"/>
      <c r="AN191" s="310"/>
      <c r="AO191" s="310"/>
      <c r="AP191" s="310"/>
      <c r="AQ191" s="310"/>
      <c r="AR191" s="310"/>
    </row>
  </sheetData>
  <mergeCells count="2">
    <mergeCell ref="N2:P2"/>
    <mergeCell ref="B2:M2"/>
  </mergeCells>
  <phoneticPr fontId="2" type="noConversion"/>
  <printOptions horizontalCentered="1"/>
  <pageMargins left="0" right="0" top="0.19685039370078741" bottom="0.19685039370078741" header="0.51181102362204722" footer="0.51181102362204722"/>
  <pageSetup paperSize="9" scale="8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enableFormatConditionsCalculation="0">
    <tabColor indexed="42"/>
    <pageSetUpPr fitToPage="1"/>
  </sheetPr>
  <dimension ref="A1:O42"/>
  <sheetViews>
    <sheetView showGridLines="0" zoomScaleNormal="100" workbookViewId="0">
      <pane xSplit="1" ySplit="3" topLeftCell="B40" activePane="bottomRight" state="frozen"/>
      <selection pane="topRight"/>
      <selection pane="bottomLeft"/>
      <selection pane="bottomRight" activeCell="E8" sqref="E8"/>
    </sheetView>
  </sheetViews>
  <sheetFormatPr defaultColWidth="9.1796875" defaultRowHeight="10.5" x14ac:dyDescent="0.25"/>
  <cols>
    <col min="1" max="1" width="30.7265625" style="149" customWidth="1"/>
    <col min="2" max="2" width="4.453125" style="149" customWidth="1"/>
    <col min="3" max="11" width="9.26953125" style="149" customWidth="1"/>
    <col min="12" max="12" width="8.7265625" style="149" customWidth="1"/>
    <col min="13" max="15" width="7.7265625" style="149" customWidth="1"/>
    <col min="16" max="16384" width="9.1796875" style="149"/>
  </cols>
  <sheetData>
    <row r="1" spans="1:11" ht="13.5" customHeight="1" x14ac:dyDescent="0.3">
      <c r="A1" s="147" t="str">
        <f>muni&amp;" - "&amp; TableA31</f>
        <v>KZN225 Msunduzi - Supporting Table SA31 Aggregated entity budget</v>
      </c>
      <c r="B1" s="147"/>
      <c r="C1" s="147"/>
      <c r="D1" s="147"/>
      <c r="E1" s="147"/>
      <c r="F1" s="147"/>
      <c r="G1" s="147"/>
      <c r="H1" s="147"/>
      <c r="I1" s="147"/>
      <c r="J1" s="147"/>
      <c r="K1" s="147"/>
    </row>
    <row r="2" spans="1:11" ht="28.5" customHeight="1" x14ac:dyDescent="0.25">
      <c r="A2" s="1002" t="str">
        <f>desc</f>
        <v>Description</v>
      </c>
      <c r="B2" s="2747" t="str">
        <f>head27</f>
        <v>Ref</v>
      </c>
      <c r="C2" s="896" t="str">
        <f>head1b</f>
        <v>2009/10</v>
      </c>
      <c r="D2" s="756" t="str">
        <f>head1A</f>
        <v>2010/11</v>
      </c>
      <c r="E2" s="146" t="str">
        <f>Head1</f>
        <v>2011/12</v>
      </c>
      <c r="F2" s="2677" t="str">
        <f>Head2</f>
        <v>Current Year 2012/13</v>
      </c>
      <c r="G2" s="2678"/>
      <c r="H2" s="2682"/>
      <c r="I2" s="2674" t="str">
        <f>Head3</f>
        <v>2013/14 Medium Term Revenue &amp; Expenditure Framework</v>
      </c>
      <c r="J2" s="2675"/>
      <c r="K2" s="2676"/>
    </row>
    <row r="3" spans="1:11" ht="21" x14ac:dyDescent="0.25">
      <c r="A3" s="180" t="s">
        <v>664</v>
      </c>
      <c r="B3" s="2748"/>
      <c r="C3" s="988" t="str">
        <f>Head5</f>
        <v>Audited Outcome</v>
      </c>
      <c r="D3" s="999" t="str">
        <f>Head5</f>
        <v>Audited Outcome</v>
      </c>
      <c r="E3" s="391" t="str">
        <f>Head5</f>
        <v>Audited Outcome</v>
      </c>
      <c r="F3" s="299" t="str">
        <f>Head6</f>
        <v>Original Budget</v>
      </c>
      <c r="G3" s="390" t="str">
        <f>Head7</f>
        <v>Adjusted Budget</v>
      </c>
      <c r="H3" s="391" t="str">
        <f>Head8</f>
        <v>Full Year Forecast</v>
      </c>
      <c r="I3" s="299" t="str">
        <f>Head9</f>
        <v>Budget Year 2013/14</v>
      </c>
      <c r="J3" s="390" t="str">
        <f>Head10</f>
        <v>Budget Year +1 2014/15</v>
      </c>
      <c r="K3" s="391" t="str">
        <f>Head11</f>
        <v>Budget Year +2 2015/16</v>
      </c>
    </row>
    <row r="4" spans="1:11" ht="12.75" customHeight="1" x14ac:dyDescent="0.25">
      <c r="A4" s="919" t="s">
        <v>1366</v>
      </c>
      <c r="B4" s="249"/>
      <c r="C4" s="898"/>
      <c r="D4" s="163"/>
      <c r="E4" s="164"/>
      <c r="F4" s="162"/>
      <c r="G4" s="163"/>
      <c r="H4" s="611"/>
      <c r="I4" s="898"/>
      <c r="J4" s="163"/>
      <c r="K4" s="164"/>
    </row>
    <row r="5" spans="1:11" x14ac:dyDescent="0.25">
      <c r="A5" s="900" t="str">
        <f>'A1-Sum'!A5</f>
        <v>Property rates</v>
      </c>
      <c r="B5" s="250"/>
      <c r="C5" s="1958"/>
      <c r="D5" s="1854"/>
      <c r="E5" s="1855"/>
      <c r="F5" s="1856"/>
      <c r="G5" s="1854"/>
      <c r="H5" s="1858"/>
      <c r="I5" s="1958"/>
      <c r="J5" s="1854"/>
      <c r="K5" s="1855"/>
    </row>
    <row r="6" spans="1:11" x14ac:dyDescent="0.25">
      <c r="A6" s="900" t="str">
        <f>'A1-Sum'!A6</f>
        <v>Service charges</v>
      </c>
      <c r="B6" s="250"/>
      <c r="C6" s="1958"/>
      <c r="D6" s="1854"/>
      <c r="E6" s="1855"/>
      <c r="F6" s="1856"/>
      <c r="G6" s="1854"/>
      <c r="H6" s="1858"/>
      <c r="I6" s="1958"/>
      <c r="J6" s="1854"/>
      <c r="K6" s="1855"/>
    </row>
    <row r="7" spans="1:11" x14ac:dyDescent="0.25">
      <c r="A7" s="900" t="str">
        <f>'A1-Sum'!A7</f>
        <v>Investment revenue</v>
      </c>
      <c r="B7" s="250"/>
      <c r="C7" s="1958"/>
      <c r="D7" s="1854"/>
      <c r="E7" s="1855"/>
      <c r="F7" s="1856"/>
      <c r="G7" s="1854"/>
      <c r="H7" s="1858"/>
      <c r="I7" s="1958"/>
      <c r="J7" s="1854"/>
      <c r="K7" s="1855"/>
    </row>
    <row r="8" spans="1:11" x14ac:dyDescent="0.25">
      <c r="A8" s="900" t="str">
        <f>'A1-Sum'!A8</f>
        <v>Transfers recognised - operational</v>
      </c>
      <c r="B8" s="250"/>
      <c r="C8" s="1958"/>
      <c r="D8" s="1854"/>
      <c r="E8" s="1855"/>
      <c r="F8" s="1856"/>
      <c r="G8" s="1854"/>
      <c r="H8" s="1858"/>
      <c r="I8" s="1958"/>
      <c r="J8" s="1854"/>
      <c r="K8" s="1855"/>
    </row>
    <row r="9" spans="1:11" x14ac:dyDescent="0.25">
      <c r="A9" s="900" t="str">
        <f>'A1-Sum'!A9</f>
        <v>Other own revenue</v>
      </c>
      <c r="B9" s="250"/>
      <c r="C9" s="1958"/>
      <c r="D9" s="1854"/>
      <c r="E9" s="1855"/>
      <c r="F9" s="1856"/>
      <c r="G9" s="1854"/>
      <c r="H9" s="1858"/>
      <c r="I9" s="1958"/>
      <c r="J9" s="1854"/>
      <c r="K9" s="1855"/>
    </row>
    <row r="10" spans="1:11" x14ac:dyDescent="0.25">
      <c r="A10" s="900" t="str">
        <f>'A1-Sum'!A21</f>
        <v>Contributions recognised - capital &amp; contributed assets</v>
      </c>
      <c r="B10" s="250"/>
      <c r="C10" s="1958"/>
      <c r="D10" s="1854"/>
      <c r="E10" s="1855"/>
      <c r="F10" s="1856"/>
      <c r="G10" s="1854"/>
      <c r="H10" s="1858"/>
      <c r="I10" s="1958"/>
      <c r="J10" s="1854"/>
      <c r="K10" s="1855"/>
    </row>
    <row r="11" spans="1:11" x14ac:dyDescent="0.25">
      <c r="A11" s="901" t="str">
        <f>'A4-FinPerf RE'!A22</f>
        <v>Total Revenue (excluding capital transfers and contributions)</v>
      </c>
      <c r="B11" s="265"/>
      <c r="C11" s="902">
        <f>SUM(C5:C10)</f>
        <v>0</v>
      </c>
      <c r="D11" s="609">
        <f>SUM(D5:D10)</f>
        <v>0</v>
      </c>
      <c r="E11" s="610">
        <f t="shared" ref="E11:K11" si="0">SUM(E5:E10)</f>
        <v>0</v>
      </c>
      <c r="F11" s="903">
        <f t="shared" si="0"/>
        <v>0</v>
      </c>
      <c r="G11" s="609">
        <f t="shared" si="0"/>
        <v>0</v>
      </c>
      <c r="H11" s="904">
        <f t="shared" si="0"/>
        <v>0</v>
      </c>
      <c r="I11" s="902">
        <f t="shared" si="0"/>
        <v>0</v>
      </c>
      <c r="J11" s="609">
        <f t="shared" si="0"/>
        <v>0</v>
      </c>
      <c r="K11" s="610">
        <f t="shared" si="0"/>
        <v>0</v>
      </c>
    </row>
    <row r="12" spans="1:11" x14ac:dyDescent="0.25">
      <c r="A12" s="900" t="str">
        <f>'A1-Sum'!A11</f>
        <v>Employee costs</v>
      </c>
      <c r="B12" s="250"/>
      <c r="C12" s="1958"/>
      <c r="D12" s="1854"/>
      <c r="E12" s="1855"/>
      <c r="F12" s="1856"/>
      <c r="G12" s="1854"/>
      <c r="H12" s="1858"/>
      <c r="I12" s="1958"/>
      <c r="J12" s="1854"/>
      <c r="K12" s="1855"/>
    </row>
    <row r="13" spans="1:11" x14ac:dyDescent="0.25">
      <c r="A13" s="900" t="s">
        <v>952</v>
      </c>
      <c r="B13" s="250"/>
      <c r="C13" s="1958"/>
      <c r="D13" s="1854"/>
      <c r="E13" s="1855"/>
      <c r="F13" s="1856"/>
      <c r="G13" s="1854"/>
      <c r="H13" s="1858"/>
      <c r="I13" s="1958"/>
      <c r="J13" s="1854"/>
      <c r="K13" s="1855"/>
    </row>
    <row r="14" spans="1:11" x14ac:dyDescent="0.25">
      <c r="A14" s="900" t="str">
        <f>'A1-Sum'!A13</f>
        <v>Depreciation &amp; asset impairment</v>
      </c>
      <c r="B14" s="250"/>
      <c r="C14" s="1958"/>
      <c r="D14" s="1854"/>
      <c r="E14" s="1855"/>
      <c r="F14" s="1856"/>
      <c r="G14" s="1854"/>
      <c r="H14" s="1858"/>
      <c r="I14" s="1958"/>
      <c r="J14" s="1854"/>
      <c r="K14" s="1855"/>
    </row>
    <row r="15" spans="1:11" x14ac:dyDescent="0.25">
      <c r="A15" s="900" t="str">
        <f>'A1-Sum'!A14</f>
        <v>Finance charges</v>
      </c>
      <c r="B15" s="250"/>
      <c r="C15" s="1958"/>
      <c r="D15" s="1854"/>
      <c r="E15" s="1855"/>
      <c r="F15" s="1856"/>
      <c r="G15" s="1854"/>
      <c r="H15" s="1858"/>
      <c r="I15" s="1958"/>
      <c r="J15" s="1854"/>
      <c r="K15" s="1855"/>
    </row>
    <row r="16" spans="1:11" x14ac:dyDescent="0.25">
      <c r="A16" s="900" t="str">
        <f>'A1-Sum'!A15</f>
        <v>Materials and bulk purchases</v>
      </c>
      <c r="B16" s="250"/>
      <c r="C16" s="1958"/>
      <c r="D16" s="1854"/>
      <c r="E16" s="1855"/>
      <c r="F16" s="1856"/>
      <c r="G16" s="1854"/>
      <c r="H16" s="1858"/>
      <c r="I16" s="1958"/>
      <c r="J16" s="1854"/>
      <c r="K16" s="1855"/>
    </row>
    <row r="17" spans="1:12" x14ac:dyDescent="0.25">
      <c r="A17" s="900" t="str">
        <f>'A1-Sum'!A16</f>
        <v>Transfers and grants</v>
      </c>
      <c r="B17" s="250"/>
      <c r="C17" s="1958"/>
      <c r="D17" s="1854"/>
      <c r="E17" s="1855"/>
      <c r="F17" s="1856"/>
      <c r="G17" s="1854"/>
      <c r="H17" s="1858"/>
      <c r="I17" s="1958"/>
      <c r="J17" s="1854"/>
      <c r="K17" s="1855"/>
    </row>
    <row r="18" spans="1:12" x14ac:dyDescent="0.25">
      <c r="A18" s="900" t="str">
        <f>'A1-Sum'!A17</f>
        <v>Other expenditure</v>
      </c>
      <c r="B18" s="250"/>
      <c r="C18" s="1958"/>
      <c r="D18" s="1854"/>
      <c r="E18" s="1855"/>
      <c r="F18" s="1856"/>
      <c r="G18" s="1854"/>
      <c r="H18" s="1858"/>
      <c r="I18" s="1958"/>
      <c r="J18" s="1854"/>
      <c r="K18" s="1855"/>
    </row>
    <row r="19" spans="1:12" x14ac:dyDescent="0.25">
      <c r="A19" s="901" t="str">
        <f>'A4-FinPerf RE'!A36</f>
        <v>Total Expenditure</v>
      </c>
      <c r="B19" s="265"/>
      <c r="C19" s="905">
        <f>SUM(C12:C18)</f>
        <v>0</v>
      </c>
      <c r="D19" s="906">
        <f t="shared" ref="D19:K19" si="1">SUM(D12:D18)</f>
        <v>0</v>
      </c>
      <c r="E19" s="907">
        <f t="shared" si="1"/>
        <v>0</v>
      </c>
      <c r="F19" s="908">
        <f t="shared" si="1"/>
        <v>0</v>
      </c>
      <c r="G19" s="906">
        <f t="shared" si="1"/>
        <v>0</v>
      </c>
      <c r="H19" s="909">
        <f t="shared" si="1"/>
        <v>0</v>
      </c>
      <c r="I19" s="905">
        <f t="shared" si="1"/>
        <v>0</v>
      </c>
      <c r="J19" s="906">
        <f t="shared" si="1"/>
        <v>0</v>
      </c>
      <c r="K19" s="907">
        <f t="shared" si="1"/>
        <v>0</v>
      </c>
    </row>
    <row r="20" spans="1:12" x14ac:dyDescent="0.25">
      <c r="A20" s="901" t="str">
        <f>'A4-FinPerf RE'!A38</f>
        <v>Surplus/(Deficit)</v>
      </c>
      <c r="B20" s="265"/>
      <c r="C20" s="910">
        <f>C11-C19</f>
        <v>0</v>
      </c>
      <c r="D20" s="612">
        <f t="shared" ref="D20:K20" si="2">D11-D19</f>
        <v>0</v>
      </c>
      <c r="E20" s="613">
        <f t="shared" si="2"/>
        <v>0</v>
      </c>
      <c r="F20" s="911">
        <f t="shared" si="2"/>
        <v>0</v>
      </c>
      <c r="G20" s="612">
        <f t="shared" si="2"/>
        <v>0</v>
      </c>
      <c r="H20" s="912">
        <f t="shared" si="2"/>
        <v>0</v>
      </c>
      <c r="I20" s="910">
        <f t="shared" si="2"/>
        <v>0</v>
      </c>
      <c r="J20" s="612">
        <f t="shared" si="2"/>
        <v>0</v>
      </c>
      <c r="K20" s="613">
        <f t="shared" si="2"/>
        <v>0</v>
      </c>
    </row>
    <row r="21" spans="1:12" ht="6" customHeight="1" x14ac:dyDescent="0.25">
      <c r="A21" s="913"/>
      <c r="B21" s="381"/>
      <c r="C21" s="914"/>
      <c r="D21" s="915"/>
      <c r="E21" s="916"/>
      <c r="F21" s="917"/>
      <c r="G21" s="915"/>
      <c r="H21" s="918"/>
      <c r="I21" s="914"/>
      <c r="J21" s="915"/>
      <c r="K21" s="916"/>
    </row>
    <row r="22" spans="1:12" ht="12.75" customHeight="1" x14ac:dyDescent="0.25">
      <c r="A22" s="919" t="s">
        <v>1066</v>
      </c>
      <c r="B22" s="249"/>
      <c r="C22" s="898"/>
      <c r="D22" s="163"/>
      <c r="E22" s="164"/>
      <c r="F22" s="162"/>
      <c r="G22" s="163"/>
      <c r="H22" s="611"/>
      <c r="I22" s="898"/>
      <c r="J22" s="163"/>
      <c r="K22" s="164"/>
    </row>
    <row r="23" spans="1:12" x14ac:dyDescent="0.25">
      <c r="A23" s="920" t="s">
        <v>1500</v>
      </c>
      <c r="B23" s="374"/>
      <c r="C23" s="1959"/>
      <c r="D23" s="1960"/>
      <c r="E23" s="1961"/>
      <c r="F23" s="1962"/>
      <c r="G23" s="1960"/>
      <c r="H23" s="1963"/>
      <c r="I23" s="1959"/>
      <c r="J23" s="1960"/>
      <c r="K23" s="1961"/>
      <c r="L23" s="246"/>
    </row>
    <row r="24" spans="1:12" x14ac:dyDescent="0.25">
      <c r="A24" s="900" t="str">
        <f>A8</f>
        <v>Transfers recognised - operational</v>
      </c>
      <c r="B24" s="250"/>
      <c r="C24" s="1958"/>
      <c r="D24" s="1854"/>
      <c r="E24" s="1855"/>
      <c r="F24" s="1856"/>
      <c r="G24" s="1854"/>
      <c r="H24" s="1858"/>
      <c r="I24" s="1958"/>
      <c r="J24" s="1854"/>
      <c r="K24" s="1855"/>
      <c r="L24" s="921"/>
    </row>
    <row r="25" spans="1:12" x14ac:dyDescent="0.25">
      <c r="A25" s="900" t="str">
        <f>'A5-Capex'!A71</f>
        <v>Public contributions &amp; donations</v>
      </c>
      <c r="B25" s="250"/>
      <c r="C25" s="1958"/>
      <c r="D25" s="1854"/>
      <c r="E25" s="1855"/>
      <c r="F25" s="1856"/>
      <c r="G25" s="1854"/>
      <c r="H25" s="1858"/>
      <c r="I25" s="1958"/>
      <c r="J25" s="1854"/>
      <c r="K25" s="1855"/>
      <c r="L25" s="921"/>
    </row>
    <row r="26" spans="1:12" x14ac:dyDescent="0.25">
      <c r="A26" s="900" t="str">
        <f>'A5-Capex'!A72</f>
        <v>Borrowing</v>
      </c>
      <c r="B26" s="250"/>
      <c r="C26" s="1958"/>
      <c r="D26" s="1854"/>
      <c r="E26" s="1855"/>
      <c r="F26" s="1856"/>
      <c r="G26" s="1854"/>
      <c r="H26" s="1858"/>
      <c r="I26" s="1958"/>
      <c r="J26" s="1854"/>
      <c r="K26" s="1855"/>
      <c r="L26" s="921"/>
    </row>
    <row r="27" spans="1:12" x14ac:dyDescent="0.25">
      <c r="A27" s="900" t="str">
        <f>'A5-Capex'!A73</f>
        <v>Internally generated funds</v>
      </c>
      <c r="B27" s="250"/>
      <c r="C27" s="1958"/>
      <c r="D27" s="1854"/>
      <c r="E27" s="1855"/>
      <c r="F27" s="1856"/>
      <c r="G27" s="1854"/>
      <c r="H27" s="1858"/>
      <c r="I27" s="1958"/>
      <c r="J27" s="1854"/>
      <c r="K27" s="1855"/>
      <c r="L27" s="921"/>
    </row>
    <row r="28" spans="1:12" x14ac:dyDescent="0.25">
      <c r="A28" s="173" t="s">
        <v>929</v>
      </c>
      <c r="B28" s="868"/>
      <c r="C28" s="902">
        <f t="shared" ref="C28:K28" si="3">SUM(C24:C27)</f>
        <v>0</v>
      </c>
      <c r="D28" s="609">
        <f t="shared" si="3"/>
        <v>0</v>
      </c>
      <c r="E28" s="610">
        <f t="shared" si="3"/>
        <v>0</v>
      </c>
      <c r="F28" s="903">
        <f t="shared" si="3"/>
        <v>0</v>
      </c>
      <c r="G28" s="609">
        <f t="shared" si="3"/>
        <v>0</v>
      </c>
      <c r="H28" s="904">
        <f t="shared" si="3"/>
        <v>0</v>
      </c>
      <c r="I28" s="902">
        <f t="shared" si="3"/>
        <v>0</v>
      </c>
      <c r="J28" s="609">
        <f t="shared" si="3"/>
        <v>0</v>
      </c>
      <c r="K28" s="610">
        <f t="shared" si="3"/>
        <v>0</v>
      </c>
    </row>
    <row r="29" spans="1:12" ht="6" customHeight="1" x14ac:dyDescent="0.25">
      <c r="A29" s="901"/>
      <c r="B29" s="265"/>
      <c r="C29" s="910"/>
      <c r="D29" s="612"/>
      <c r="E29" s="613"/>
      <c r="F29" s="911"/>
      <c r="G29" s="612"/>
      <c r="H29" s="912"/>
      <c r="I29" s="910"/>
      <c r="J29" s="612"/>
      <c r="K29" s="613"/>
    </row>
    <row r="30" spans="1:12" ht="12.75" customHeight="1" x14ac:dyDescent="0.25">
      <c r="A30" s="897" t="s">
        <v>202</v>
      </c>
      <c r="B30" s="861"/>
      <c r="C30" s="899"/>
      <c r="D30" s="922"/>
      <c r="E30" s="923"/>
      <c r="F30" s="924"/>
      <c r="G30" s="922"/>
      <c r="H30" s="925"/>
      <c r="I30" s="899"/>
      <c r="J30" s="922"/>
      <c r="K30" s="923"/>
    </row>
    <row r="31" spans="1:12" x14ac:dyDescent="0.25">
      <c r="A31" s="900" t="str">
        <f>'A6-FinPos'!A12</f>
        <v>Total current assets</v>
      </c>
      <c r="B31" s="250"/>
      <c r="C31" s="1958"/>
      <c r="D31" s="1854"/>
      <c r="E31" s="1855"/>
      <c r="F31" s="1856"/>
      <c r="G31" s="1854"/>
      <c r="H31" s="1858"/>
      <c r="I31" s="1958"/>
      <c r="J31" s="1854"/>
      <c r="K31" s="1855"/>
    </row>
    <row r="32" spans="1:12" x14ac:dyDescent="0.25">
      <c r="A32" s="900" t="str">
        <f>'A6-FinPos'!A24</f>
        <v>Total non current assets</v>
      </c>
      <c r="B32" s="250"/>
      <c r="C32" s="1958"/>
      <c r="D32" s="1854"/>
      <c r="E32" s="1855"/>
      <c r="F32" s="1856"/>
      <c r="G32" s="1854"/>
      <c r="H32" s="1858"/>
      <c r="I32" s="1958"/>
      <c r="J32" s="1854"/>
      <c r="K32" s="1855"/>
    </row>
    <row r="33" spans="1:15" x14ac:dyDescent="0.25">
      <c r="A33" s="900" t="str">
        <f>'A6-FinPos'!A34</f>
        <v>Total current liabilities</v>
      </c>
      <c r="B33" s="250"/>
      <c r="C33" s="1958"/>
      <c r="D33" s="1854"/>
      <c r="E33" s="1855"/>
      <c r="F33" s="1856"/>
      <c r="G33" s="1854"/>
      <c r="H33" s="1858"/>
      <c r="I33" s="1958"/>
      <c r="J33" s="1854"/>
      <c r="K33" s="1855"/>
    </row>
    <row r="34" spans="1:15" x14ac:dyDescent="0.25">
      <c r="A34" s="900" t="str">
        <f>'A6-FinPos'!A39</f>
        <v>Total non current liabilities</v>
      </c>
      <c r="B34" s="250"/>
      <c r="C34" s="1958"/>
      <c r="D34" s="1854"/>
      <c r="E34" s="1855"/>
      <c r="F34" s="1856"/>
      <c r="G34" s="1854"/>
      <c r="H34" s="1858"/>
      <c r="I34" s="1958"/>
      <c r="J34" s="1854"/>
      <c r="K34" s="1855"/>
    </row>
    <row r="35" spans="1:15" x14ac:dyDescent="0.25">
      <c r="A35" s="900" t="s">
        <v>613</v>
      </c>
      <c r="B35" s="250"/>
      <c r="C35" s="1958"/>
      <c r="D35" s="1854"/>
      <c r="E35" s="1855"/>
      <c r="F35" s="1856"/>
      <c r="G35" s="1854"/>
      <c r="H35" s="1858"/>
      <c r="I35" s="1958"/>
      <c r="J35" s="1854"/>
      <c r="K35" s="1855"/>
    </row>
    <row r="36" spans="1:15" ht="6" customHeight="1" x14ac:dyDescent="0.25">
      <c r="A36" s="913"/>
      <c r="B36" s="381"/>
      <c r="C36" s="914"/>
      <c r="D36" s="915"/>
      <c r="E36" s="916"/>
      <c r="F36" s="917"/>
      <c r="G36" s="915"/>
      <c r="H36" s="918"/>
      <c r="I36" s="914"/>
      <c r="J36" s="915"/>
      <c r="K36" s="916"/>
    </row>
    <row r="37" spans="1:15" ht="12.75" customHeight="1" x14ac:dyDescent="0.25">
      <c r="A37" s="919" t="s">
        <v>203</v>
      </c>
      <c r="B37" s="249"/>
      <c r="C37" s="898"/>
      <c r="D37" s="163"/>
      <c r="E37" s="164"/>
      <c r="F37" s="162"/>
      <c r="G37" s="163"/>
      <c r="H37" s="611"/>
      <c r="I37" s="898"/>
      <c r="J37" s="163"/>
      <c r="K37" s="164"/>
      <c r="O37" s="370"/>
    </row>
    <row r="38" spans="1:15" x14ac:dyDescent="0.25">
      <c r="A38" s="900" t="str">
        <f>'A1-Sum'!A42</f>
        <v>Net cash from (used) operating</v>
      </c>
      <c r="B38" s="250"/>
      <c r="C38" s="1958"/>
      <c r="D38" s="1854"/>
      <c r="E38" s="1855"/>
      <c r="F38" s="1856"/>
      <c r="G38" s="1854"/>
      <c r="H38" s="1858"/>
      <c r="I38" s="1958"/>
      <c r="J38" s="1854"/>
      <c r="K38" s="1855"/>
    </row>
    <row r="39" spans="1:15" x14ac:dyDescent="0.25">
      <c r="A39" s="900" t="str">
        <f>'A1-Sum'!A43</f>
        <v>Net cash from (used) investing</v>
      </c>
      <c r="B39" s="250"/>
      <c r="C39" s="1958"/>
      <c r="D39" s="1854"/>
      <c r="E39" s="1855"/>
      <c r="F39" s="1856"/>
      <c r="G39" s="1854"/>
      <c r="H39" s="1858"/>
      <c r="I39" s="1958"/>
      <c r="J39" s="1854"/>
      <c r="K39" s="1855"/>
    </row>
    <row r="40" spans="1:15" x14ac:dyDescent="0.25">
      <c r="A40" s="900" t="str">
        <f>'A1-Sum'!A44</f>
        <v>Net cash from (used) financing</v>
      </c>
      <c r="B40" s="250"/>
      <c r="C40" s="1958"/>
      <c r="D40" s="1854"/>
      <c r="E40" s="1855"/>
      <c r="F40" s="1856"/>
      <c r="G40" s="1854"/>
      <c r="H40" s="1858"/>
      <c r="I40" s="1958"/>
      <c r="J40" s="1854"/>
      <c r="K40" s="1855"/>
    </row>
    <row r="41" spans="1:15" x14ac:dyDescent="0.25">
      <c r="A41" s="901" t="str">
        <f>'A1-Sum'!A45</f>
        <v>Cash/cash equivalents at the year end</v>
      </c>
      <c r="B41" s="265"/>
      <c r="C41" s="1958"/>
      <c r="D41" s="1854"/>
      <c r="E41" s="1855"/>
      <c r="F41" s="1856"/>
      <c r="G41" s="1854"/>
      <c r="H41" s="1858"/>
      <c r="I41" s="1958"/>
      <c r="J41" s="1854"/>
      <c r="K41" s="1855"/>
    </row>
    <row r="42" spans="1:15" ht="6" customHeight="1" x14ac:dyDescent="0.25">
      <c r="A42" s="926"/>
      <c r="B42" s="336"/>
      <c r="C42" s="914"/>
      <c r="D42" s="915"/>
      <c r="E42" s="916"/>
      <c r="F42" s="917"/>
      <c r="G42" s="915"/>
      <c r="H42" s="918"/>
      <c r="I42" s="914"/>
      <c r="J42" s="915"/>
      <c r="K42" s="916"/>
    </row>
  </sheetData>
  <sheetProtection sheet="1" objects="1" scenarios="1"/>
  <mergeCells count="3">
    <mergeCell ref="F2:H2"/>
    <mergeCell ref="I2:K2"/>
    <mergeCell ref="B2:B3"/>
  </mergeCells>
  <phoneticPr fontId="2" type="noConversion"/>
  <printOptions horizontalCentered="1"/>
  <pageMargins left="0" right="0" top="0.78740157480314965" bottom="0.59055118110236227" header="0.51181102362204722" footer="0.39370078740157483"/>
  <pageSetup paperSize="9" scale="85"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enableFormatConditionsCalculation="0">
    <tabColor indexed="42"/>
  </sheetPr>
  <dimension ref="A1:L61"/>
  <sheetViews>
    <sheetView showGridLines="0" zoomScaleNormal="100" workbookViewId="0">
      <pane xSplit="1" ySplit="3" topLeftCell="B4" activePane="bottomRight" state="frozen"/>
      <selection pane="topRight"/>
      <selection pane="bottomLeft"/>
      <selection pane="bottomRight" activeCell="E29" sqref="E29"/>
    </sheetView>
  </sheetViews>
  <sheetFormatPr defaultColWidth="9.1796875" defaultRowHeight="10.5" x14ac:dyDescent="0.25"/>
  <cols>
    <col min="1" max="1" width="30.7265625" style="149" customWidth="1"/>
    <col min="2" max="2" width="4.1796875" style="247" bestFit="1" customWidth="1"/>
    <col min="3" max="3" width="9.26953125" style="149" customWidth="1"/>
    <col min="4" max="4" width="30.7265625" style="149" customWidth="1"/>
    <col min="5" max="5" width="13" style="149" customWidth="1"/>
    <col min="6" max="6" width="9.26953125" style="149" customWidth="1"/>
    <col min="7" max="7" width="9.81640625" style="149" customWidth="1"/>
    <col min="8" max="8" width="9.81640625" style="149" bestFit="1" customWidth="1"/>
    <col min="9" max="10" width="9.81640625" style="149" customWidth="1"/>
    <col min="11" max="11" width="9.54296875" style="149" customWidth="1"/>
    <col min="12" max="12" width="9.81640625" style="149" customWidth="1"/>
    <col min="13" max="15" width="9.54296875" style="149" customWidth="1"/>
    <col min="16" max="16" width="9.81640625" style="149" customWidth="1"/>
    <col min="17" max="19" width="9.54296875" style="149" customWidth="1"/>
    <col min="20" max="21" width="9.81640625" style="149" customWidth="1"/>
    <col min="22" max="16384" width="9.1796875" style="149"/>
  </cols>
  <sheetData>
    <row r="1" spans="1:6" ht="13.5" customHeight="1" x14ac:dyDescent="0.3">
      <c r="A1" s="147" t="str">
        <f>muni&amp;" - "&amp;TableA32</f>
        <v>KZN225 Msunduzi - Supporting Table SA32 List of external mechanisms</v>
      </c>
      <c r="B1" s="147"/>
      <c r="C1" s="147"/>
      <c r="D1" s="147"/>
      <c r="E1" s="147"/>
      <c r="F1" s="147"/>
    </row>
    <row r="2" spans="1:6" ht="33.75" customHeight="1" x14ac:dyDescent="0.25">
      <c r="A2" s="142" t="s">
        <v>326</v>
      </c>
      <c r="B2" s="2725" t="s">
        <v>1678</v>
      </c>
      <c r="C2" s="632" t="s">
        <v>329</v>
      </c>
      <c r="D2" s="2725" t="s">
        <v>330</v>
      </c>
      <c r="E2" s="2725" t="s">
        <v>328</v>
      </c>
      <c r="F2" s="927" t="s">
        <v>331</v>
      </c>
    </row>
    <row r="3" spans="1:6" ht="24.75" customHeight="1" x14ac:dyDescent="0.25">
      <c r="A3" s="141" t="s">
        <v>327</v>
      </c>
      <c r="B3" s="2726"/>
      <c r="C3" s="928" t="s">
        <v>1679</v>
      </c>
      <c r="D3" s="2726"/>
      <c r="E3" s="2726"/>
      <c r="F3" s="929" t="s">
        <v>665</v>
      </c>
    </row>
    <row r="4" spans="1:6" ht="11.25" customHeight="1" x14ac:dyDescent="0.25">
      <c r="A4" s="1964"/>
      <c r="B4" s="1826"/>
      <c r="C4" s="1826"/>
      <c r="D4" s="1965"/>
      <c r="E4" s="1966"/>
      <c r="F4" s="1634"/>
    </row>
    <row r="5" spans="1:6" ht="11.25" customHeight="1" x14ac:dyDescent="0.25">
      <c r="A5" s="1964"/>
      <c r="B5" s="1826"/>
      <c r="C5" s="1826"/>
      <c r="D5" s="1965"/>
      <c r="E5" s="1967"/>
      <c r="F5" s="1634"/>
    </row>
    <row r="6" spans="1:6" ht="11.25" customHeight="1" x14ac:dyDescent="0.25">
      <c r="A6" s="1964"/>
      <c r="B6" s="1826"/>
      <c r="C6" s="1826"/>
      <c r="D6" s="1965"/>
      <c r="E6" s="1966"/>
      <c r="F6" s="1634"/>
    </row>
    <row r="7" spans="1:6" ht="11.25" customHeight="1" x14ac:dyDescent="0.25">
      <c r="A7" s="1964"/>
      <c r="B7" s="1826"/>
      <c r="C7" s="1826"/>
      <c r="D7" s="1965"/>
      <c r="E7" s="1966"/>
      <c r="F7" s="1634"/>
    </row>
    <row r="8" spans="1:6" ht="11.25" customHeight="1" x14ac:dyDescent="0.25">
      <c r="A8" s="1964"/>
      <c r="B8" s="1826"/>
      <c r="C8" s="1826"/>
      <c r="D8" s="1965"/>
      <c r="E8" s="1966"/>
      <c r="F8" s="1634"/>
    </row>
    <row r="9" spans="1:6" ht="11.25" customHeight="1" x14ac:dyDescent="0.25">
      <c r="A9" s="1964"/>
      <c r="B9" s="1826"/>
      <c r="C9" s="1826"/>
      <c r="D9" s="1965"/>
      <c r="E9" s="1966"/>
      <c r="F9" s="1634"/>
    </row>
    <row r="10" spans="1:6" ht="11.25" customHeight="1" x14ac:dyDescent="0.25">
      <c r="A10" s="1964"/>
      <c r="B10" s="1826"/>
      <c r="C10" s="1826"/>
      <c r="D10" s="1965"/>
      <c r="E10" s="1966"/>
      <c r="F10" s="1634"/>
    </row>
    <row r="11" spans="1:6" ht="11.25" customHeight="1" x14ac:dyDescent="0.25">
      <c r="A11" s="1964"/>
      <c r="B11" s="1826"/>
      <c r="C11" s="1826"/>
      <c r="D11" s="1965"/>
      <c r="E11" s="1966"/>
      <c r="F11" s="1634"/>
    </row>
    <row r="12" spans="1:6" ht="11.25" customHeight="1" x14ac:dyDescent="0.25">
      <c r="A12" s="1964"/>
      <c r="B12" s="1826"/>
      <c r="C12" s="1826"/>
      <c r="D12" s="1965"/>
      <c r="E12" s="1966"/>
      <c r="F12" s="1634"/>
    </row>
    <row r="13" spans="1:6" ht="11.25" customHeight="1" x14ac:dyDescent="0.25">
      <c r="A13" s="1964"/>
      <c r="B13" s="1826"/>
      <c r="C13" s="1826"/>
      <c r="D13" s="1965"/>
      <c r="E13" s="1966"/>
      <c r="F13" s="1634"/>
    </row>
    <row r="14" spans="1:6" ht="11.25" customHeight="1" x14ac:dyDescent="0.25">
      <c r="A14" s="1964"/>
      <c r="B14" s="1826"/>
      <c r="C14" s="1826"/>
      <c r="D14" s="1965"/>
      <c r="E14" s="1966"/>
      <c r="F14" s="1634"/>
    </row>
    <row r="15" spans="1:6" ht="11.25" customHeight="1" x14ac:dyDescent="0.25">
      <c r="A15" s="1964"/>
      <c r="B15" s="1826"/>
      <c r="C15" s="1826"/>
      <c r="D15" s="1965"/>
      <c r="E15" s="1966"/>
      <c r="F15" s="1634"/>
    </row>
    <row r="16" spans="1:6" ht="11.25" customHeight="1" x14ac:dyDescent="0.25">
      <c r="A16" s="1964"/>
      <c r="B16" s="1826"/>
      <c r="C16" s="1826"/>
      <c r="D16" s="1965"/>
      <c r="E16" s="1966"/>
      <c r="F16" s="1634"/>
    </row>
    <row r="17" spans="1:12" ht="11.25" customHeight="1" x14ac:dyDescent="0.25">
      <c r="A17" s="1964"/>
      <c r="B17" s="1826"/>
      <c r="C17" s="1826"/>
      <c r="D17" s="1965"/>
      <c r="E17" s="1966"/>
      <c r="F17" s="1634"/>
    </row>
    <row r="18" spans="1:12" ht="11.25" customHeight="1" x14ac:dyDescent="0.25">
      <c r="A18" s="1964"/>
      <c r="B18" s="1826"/>
      <c r="C18" s="1826"/>
      <c r="D18" s="1965"/>
      <c r="E18" s="1966"/>
      <c r="F18" s="1634"/>
    </row>
    <row r="19" spans="1:12" ht="11.25" customHeight="1" x14ac:dyDescent="0.25">
      <c r="A19" s="1964"/>
      <c r="B19" s="1826"/>
      <c r="C19" s="1826"/>
      <c r="D19" s="1965"/>
      <c r="E19" s="1966"/>
      <c r="F19" s="1634"/>
    </row>
    <row r="20" spans="1:12" ht="11.25" customHeight="1" x14ac:dyDescent="0.25">
      <c r="A20" s="1964"/>
      <c r="B20" s="1826"/>
      <c r="C20" s="1826"/>
      <c r="D20" s="1965"/>
      <c r="E20" s="1966"/>
      <c r="F20" s="1634"/>
    </row>
    <row r="21" spans="1:12" ht="11.25" customHeight="1" x14ac:dyDescent="0.25">
      <c r="A21" s="1964"/>
      <c r="B21" s="1826"/>
      <c r="C21" s="1826"/>
      <c r="D21" s="1965"/>
      <c r="E21" s="1966"/>
      <c r="F21" s="1634"/>
    </row>
    <row r="22" spans="1:12" ht="11.25" customHeight="1" x14ac:dyDescent="0.25">
      <c r="A22" s="1964"/>
      <c r="B22" s="1826"/>
      <c r="C22" s="1826"/>
      <c r="D22" s="1965"/>
      <c r="E22" s="1966"/>
      <c r="F22" s="1634"/>
    </row>
    <row r="23" spans="1:12" x14ac:dyDescent="0.25">
      <c r="A23" s="1968"/>
      <c r="B23" s="1969"/>
      <c r="C23" s="1969"/>
      <c r="D23" s="1970"/>
      <c r="E23" s="1971"/>
      <c r="F23" s="1972"/>
    </row>
    <row r="24" spans="1:12" ht="6" customHeight="1" x14ac:dyDescent="0.25">
      <c r="A24" s="246"/>
      <c r="B24" s="236"/>
      <c r="C24" s="309"/>
      <c r="D24" s="309"/>
      <c r="E24" s="309"/>
      <c r="F24" s="309"/>
      <c r="J24" s="246"/>
      <c r="K24" s="246"/>
      <c r="L24" s="246"/>
    </row>
    <row r="25" spans="1:12" s="709" customFormat="1" x14ac:dyDescent="0.25">
      <c r="A25" s="1232" t="str">
        <f>head27a</f>
        <v>References</v>
      </c>
      <c r="B25" s="1038"/>
      <c r="C25" s="1079"/>
      <c r="D25" s="1079"/>
      <c r="E25" s="1079"/>
      <c r="F25" s="1079"/>
      <c r="J25" s="1061"/>
      <c r="K25" s="1061"/>
      <c r="L25" s="1061"/>
    </row>
    <row r="26" spans="1:12" s="709" customFormat="1" ht="11.25" customHeight="1" x14ac:dyDescent="0.25">
      <c r="A26" s="1194" t="s">
        <v>392</v>
      </c>
      <c r="B26" s="1038"/>
      <c r="C26" s="1042"/>
      <c r="D26" s="1041"/>
      <c r="E26" s="1042"/>
      <c r="F26" s="1042"/>
    </row>
    <row r="27" spans="1:12" s="709" customFormat="1" ht="11.25" customHeight="1" x14ac:dyDescent="0.25">
      <c r="A27" s="1194" t="s">
        <v>332</v>
      </c>
      <c r="B27" s="1038"/>
      <c r="C27" s="1079"/>
      <c r="D27" s="1079"/>
      <c r="E27" s="1079"/>
      <c r="F27" s="1079"/>
    </row>
    <row r="28" spans="1:12" ht="11.25" customHeight="1" x14ac:dyDescent="0.25"/>
    <row r="29" spans="1:12" ht="11.25" customHeight="1" x14ac:dyDescent="0.25"/>
    <row r="30" spans="1:12" ht="11.25" customHeight="1" x14ac:dyDescent="0.25"/>
    <row r="31" spans="1:12" ht="11.25" customHeight="1" x14ac:dyDescent="0.25"/>
    <row r="32" spans="1:12"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sheetData>
  <sheetProtection sheet="1" objects="1" scenarios="1"/>
  <mergeCells count="3">
    <mergeCell ref="D2:D3"/>
    <mergeCell ref="E2:E3"/>
    <mergeCell ref="B2:B3"/>
  </mergeCells>
  <phoneticPr fontId="2" type="noConversion"/>
  <dataValidations count="1">
    <dataValidation type="list" allowBlank="1" showInputMessage="1" showErrorMessage="1" promptTitle="Selection" prompt="Select period description" sqref="B4:B23">
      <formula1>List8</formula1>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enableFormatConditionsCalculation="0">
    <tabColor indexed="42"/>
  </sheetPr>
  <dimension ref="A1:O83"/>
  <sheetViews>
    <sheetView showGridLines="0" zoomScaleNormal="100" workbookViewId="0">
      <pane xSplit="2" ySplit="3" topLeftCell="C31" activePane="bottomRight" state="frozen"/>
      <selection pane="topRight"/>
      <selection pane="bottomLeft"/>
      <selection pane="bottomRight" activeCell="C34" sqref="C34"/>
    </sheetView>
  </sheetViews>
  <sheetFormatPr defaultColWidth="9.1796875" defaultRowHeight="10.5" x14ac:dyDescent="0.25"/>
  <cols>
    <col min="1" max="1" width="30.7265625" style="149" customWidth="1"/>
    <col min="2" max="2" width="3" style="247" customWidth="1"/>
    <col min="3" max="7" width="9.26953125" style="149" customWidth="1"/>
    <col min="8" max="15" width="8.26953125" style="149" customWidth="1"/>
    <col min="16" max="17" width="9.54296875" style="149" customWidth="1"/>
    <col min="18" max="19" width="9.81640625" style="149" customWidth="1"/>
    <col min="20" max="16384" width="9.1796875" style="149"/>
  </cols>
  <sheetData>
    <row r="1" spans="1:15" ht="13.5" customHeight="1" x14ac:dyDescent="0.3">
      <c r="A1" s="147" t="str">
        <f>muni&amp;" - "&amp; TableA33</f>
        <v>KZN225 Msunduzi - Supporting Table SA33 Contracts having future budgetary implications</v>
      </c>
      <c r="B1" s="147"/>
      <c r="C1" s="147"/>
      <c r="D1" s="147"/>
      <c r="E1" s="147"/>
      <c r="F1" s="147"/>
      <c r="G1" s="147"/>
      <c r="H1" s="147"/>
      <c r="I1" s="147"/>
      <c r="J1" s="147"/>
      <c r="K1" s="147"/>
      <c r="L1" s="147"/>
      <c r="M1" s="147"/>
      <c r="N1" s="147"/>
      <c r="O1" s="147"/>
    </row>
    <row r="2" spans="1:15" ht="36" customHeight="1" x14ac:dyDescent="0.25">
      <c r="A2" s="985" t="str">
        <f>desc</f>
        <v>Description</v>
      </c>
      <c r="B2" s="419" t="str">
        <f>head27</f>
        <v>Ref</v>
      </c>
      <c r="C2" s="150" t="s">
        <v>427</v>
      </c>
      <c r="D2" s="146" t="str">
        <f>Head2</f>
        <v>Current Year 2012/13</v>
      </c>
      <c r="E2" s="2674" t="str">
        <f>Head3</f>
        <v>2013/14 Medium Term Revenue &amp; Expenditure Framework</v>
      </c>
      <c r="F2" s="2675"/>
      <c r="G2" s="2676"/>
      <c r="H2" s="144" t="str">
        <f>Head12</f>
        <v>Forecast 2016/17</v>
      </c>
      <c r="I2" s="150" t="str">
        <f>Head13</f>
        <v>Forecast 2017/18</v>
      </c>
      <c r="J2" s="150" t="str">
        <f>Head14</f>
        <v>Forecast 2018/19</v>
      </c>
      <c r="K2" s="150" t="str">
        <f>Head15</f>
        <v>Forecast 2019/20</v>
      </c>
      <c r="L2" s="150" t="str">
        <f>Head16</f>
        <v>Forecast 2020/21</v>
      </c>
      <c r="M2" s="150" t="str">
        <f>Head17</f>
        <v>Forecast 2021/22</v>
      </c>
      <c r="N2" s="146" t="str">
        <f>Head18</f>
        <v>Forecast 2022/23</v>
      </c>
      <c r="O2" s="930" t="s">
        <v>682</v>
      </c>
    </row>
    <row r="3" spans="1:15" ht="21" x14ac:dyDescent="0.25">
      <c r="A3" s="180" t="s">
        <v>665</v>
      </c>
      <c r="B3" s="931" t="s">
        <v>517</v>
      </c>
      <c r="C3" s="390" t="s">
        <v>774</v>
      </c>
      <c r="D3" s="391" t="str">
        <f>Head6</f>
        <v>Original Budget</v>
      </c>
      <c r="E3" s="299" t="str">
        <f>Head9</f>
        <v>Budget Year 2013/14</v>
      </c>
      <c r="F3" s="390" t="str">
        <f>Head10</f>
        <v>Budget Year +1 2014/15</v>
      </c>
      <c r="G3" s="391" t="str">
        <f>Head11</f>
        <v>Budget Year +2 2015/16</v>
      </c>
      <c r="H3" s="299" t="s">
        <v>398</v>
      </c>
      <c r="I3" s="390" t="s">
        <v>398</v>
      </c>
      <c r="J3" s="390" t="s">
        <v>398</v>
      </c>
      <c r="K3" s="390" t="s">
        <v>398</v>
      </c>
      <c r="L3" s="390" t="s">
        <v>398</v>
      </c>
      <c r="M3" s="390" t="s">
        <v>398</v>
      </c>
      <c r="N3" s="391" t="s">
        <v>398</v>
      </c>
      <c r="O3" s="1003" t="s">
        <v>398</v>
      </c>
    </row>
    <row r="4" spans="1:15" x14ac:dyDescent="0.25">
      <c r="A4" s="265" t="s">
        <v>986</v>
      </c>
      <c r="B4" s="182"/>
      <c r="C4" s="311"/>
      <c r="D4" s="312"/>
      <c r="E4" s="313"/>
      <c r="F4" s="311"/>
      <c r="G4" s="314"/>
      <c r="H4" s="312"/>
      <c r="I4" s="311"/>
      <c r="J4" s="311"/>
      <c r="K4" s="311"/>
      <c r="L4" s="311"/>
      <c r="M4" s="311"/>
      <c r="N4" s="314"/>
      <c r="O4" s="420"/>
    </row>
    <row r="5" spans="1:15" x14ac:dyDescent="0.25">
      <c r="A5" s="249" t="s">
        <v>1606</v>
      </c>
      <c r="B5" s="182">
        <v>2</v>
      </c>
      <c r="C5" s="315"/>
      <c r="D5" s="316"/>
      <c r="E5" s="317"/>
      <c r="F5" s="315"/>
      <c r="G5" s="318"/>
      <c r="H5" s="316"/>
      <c r="I5" s="315"/>
      <c r="J5" s="315"/>
      <c r="K5" s="315"/>
      <c r="L5" s="315"/>
      <c r="M5" s="315"/>
      <c r="N5" s="318"/>
      <c r="O5" s="932"/>
    </row>
    <row r="6" spans="1:15" x14ac:dyDescent="0.25">
      <c r="A6" s="1938" t="s">
        <v>399</v>
      </c>
      <c r="B6" s="182"/>
      <c r="C6" s="1973"/>
      <c r="D6" s="1974"/>
      <c r="E6" s="1975"/>
      <c r="F6" s="1973"/>
      <c r="G6" s="1976"/>
      <c r="H6" s="1974"/>
      <c r="I6" s="1973"/>
      <c r="J6" s="1973"/>
      <c r="K6" s="1973"/>
      <c r="L6" s="1973"/>
      <c r="M6" s="1973"/>
      <c r="N6" s="1976"/>
      <c r="O6" s="586">
        <f>SUM(C6:N6)</f>
        <v>0</v>
      </c>
    </row>
    <row r="7" spans="1:15" x14ac:dyDescent="0.25">
      <c r="A7" s="1938" t="s">
        <v>400</v>
      </c>
      <c r="B7" s="182"/>
      <c r="C7" s="1647"/>
      <c r="D7" s="1650"/>
      <c r="E7" s="1649"/>
      <c r="F7" s="1647"/>
      <c r="G7" s="1648"/>
      <c r="H7" s="1650"/>
      <c r="I7" s="1647"/>
      <c r="J7" s="1647"/>
      <c r="K7" s="1647"/>
      <c r="L7" s="1647"/>
      <c r="M7" s="1647"/>
      <c r="N7" s="1648"/>
      <c r="O7" s="586">
        <f>SUM(C7:N7)</f>
        <v>0</v>
      </c>
    </row>
    <row r="8" spans="1:15" x14ac:dyDescent="0.25">
      <c r="A8" s="1938" t="s">
        <v>401</v>
      </c>
      <c r="B8" s="182"/>
      <c r="C8" s="1614"/>
      <c r="D8" s="1636"/>
      <c r="E8" s="1635"/>
      <c r="F8" s="1614"/>
      <c r="G8" s="1634"/>
      <c r="H8" s="1636"/>
      <c r="I8" s="1614"/>
      <c r="J8" s="1614"/>
      <c r="K8" s="1614"/>
      <c r="L8" s="1614"/>
      <c r="M8" s="1614"/>
      <c r="N8" s="1634"/>
      <c r="O8" s="586">
        <f>SUM(C8:N8)</f>
        <v>0</v>
      </c>
    </row>
    <row r="9" spans="1:15" x14ac:dyDescent="0.25">
      <c r="A9" s="265" t="s">
        <v>1342</v>
      </c>
      <c r="B9" s="182"/>
      <c r="C9" s="213">
        <f>SUM(C6:C8)</f>
        <v>0</v>
      </c>
      <c r="D9" s="212">
        <f t="shared" ref="D9:N9" si="0">SUM(D6:D8)</f>
        <v>0</v>
      </c>
      <c r="E9" s="215">
        <f t="shared" si="0"/>
        <v>0</v>
      </c>
      <c r="F9" s="213">
        <f t="shared" si="0"/>
        <v>0</v>
      </c>
      <c r="G9" s="214">
        <f t="shared" si="0"/>
        <v>0</v>
      </c>
      <c r="H9" s="212">
        <f t="shared" si="0"/>
        <v>0</v>
      </c>
      <c r="I9" s="213">
        <f t="shared" si="0"/>
        <v>0</v>
      </c>
      <c r="J9" s="213">
        <f t="shared" si="0"/>
        <v>0</v>
      </c>
      <c r="K9" s="213">
        <f t="shared" si="0"/>
        <v>0</v>
      </c>
      <c r="L9" s="213">
        <f t="shared" si="0"/>
        <v>0</v>
      </c>
      <c r="M9" s="213">
        <f t="shared" si="0"/>
        <v>0</v>
      </c>
      <c r="N9" s="214">
        <f t="shared" si="0"/>
        <v>0</v>
      </c>
      <c r="O9" s="933">
        <f>SUM(C9:N9)</f>
        <v>0</v>
      </c>
    </row>
    <row r="10" spans="1:15" ht="5.15" customHeight="1" x14ac:dyDescent="0.25">
      <c r="A10" s="273"/>
      <c r="B10" s="182"/>
      <c r="C10" s="203"/>
      <c r="D10" s="202"/>
      <c r="E10" s="205"/>
      <c r="F10" s="203"/>
      <c r="G10" s="204"/>
      <c r="H10" s="202"/>
      <c r="I10" s="203"/>
      <c r="J10" s="203"/>
      <c r="K10" s="203"/>
      <c r="L10" s="203"/>
      <c r="M10" s="203"/>
      <c r="N10" s="204"/>
      <c r="O10" s="586"/>
    </row>
    <row r="11" spans="1:15" x14ac:dyDescent="0.25">
      <c r="A11" s="249" t="s">
        <v>987</v>
      </c>
      <c r="B11" s="182">
        <v>2</v>
      </c>
      <c r="C11" s="203"/>
      <c r="D11" s="202"/>
      <c r="E11" s="205"/>
      <c r="F11" s="203"/>
      <c r="G11" s="204"/>
      <c r="H11" s="202"/>
      <c r="I11" s="203"/>
      <c r="J11" s="203"/>
      <c r="K11" s="203"/>
      <c r="L11" s="203"/>
      <c r="M11" s="203"/>
      <c r="N11" s="204"/>
      <c r="O11" s="586"/>
    </row>
    <row r="12" spans="1:15" x14ac:dyDescent="0.25">
      <c r="A12" s="1938" t="s">
        <v>399</v>
      </c>
      <c r="B12" s="182"/>
      <c r="C12" s="1614"/>
      <c r="D12" s="1636"/>
      <c r="E12" s="1635"/>
      <c r="F12" s="1614"/>
      <c r="G12" s="1634"/>
      <c r="H12" s="1636"/>
      <c r="I12" s="1614"/>
      <c r="J12" s="1614"/>
      <c r="K12" s="1614"/>
      <c r="L12" s="1614"/>
      <c r="M12" s="1614"/>
      <c r="N12" s="1634"/>
      <c r="O12" s="586">
        <f>SUM(C12:N12)</f>
        <v>0</v>
      </c>
    </row>
    <row r="13" spans="1:15" x14ac:dyDescent="0.25">
      <c r="A13" s="1938" t="s">
        <v>400</v>
      </c>
      <c r="B13" s="182"/>
      <c r="C13" s="1614"/>
      <c r="D13" s="1636"/>
      <c r="E13" s="1635"/>
      <c r="F13" s="1614"/>
      <c r="G13" s="1634"/>
      <c r="H13" s="1636"/>
      <c r="I13" s="1614"/>
      <c r="J13" s="1614"/>
      <c r="K13" s="1614"/>
      <c r="L13" s="1614"/>
      <c r="M13" s="1614"/>
      <c r="N13" s="1634"/>
      <c r="O13" s="586">
        <f>SUM(C13:N13)</f>
        <v>0</v>
      </c>
    </row>
    <row r="14" spans="1:15" x14ac:dyDescent="0.25">
      <c r="A14" s="1938" t="s">
        <v>401</v>
      </c>
      <c r="B14" s="182"/>
      <c r="C14" s="1614"/>
      <c r="D14" s="1636"/>
      <c r="E14" s="1635"/>
      <c r="F14" s="1614"/>
      <c r="G14" s="1634"/>
      <c r="H14" s="1636"/>
      <c r="I14" s="1614"/>
      <c r="J14" s="1614"/>
      <c r="K14" s="1614"/>
      <c r="L14" s="1614"/>
      <c r="M14" s="1614"/>
      <c r="N14" s="1634"/>
      <c r="O14" s="586">
        <f>SUM(C14:N14)</f>
        <v>0</v>
      </c>
    </row>
    <row r="15" spans="1:15" x14ac:dyDescent="0.25">
      <c r="A15" s="265" t="s">
        <v>989</v>
      </c>
      <c r="B15" s="182"/>
      <c r="C15" s="409">
        <f t="shared" ref="C15:N15" si="1">SUM(C12:C14)</f>
        <v>0</v>
      </c>
      <c r="D15" s="412">
        <f t="shared" si="1"/>
        <v>0</v>
      </c>
      <c r="E15" s="411">
        <f t="shared" si="1"/>
        <v>0</v>
      </c>
      <c r="F15" s="409">
        <f t="shared" si="1"/>
        <v>0</v>
      </c>
      <c r="G15" s="410">
        <f t="shared" si="1"/>
        <v>0</v>
      </c>
      <c r="H15" s="412">
        <f t="shared" si="1"/>
        <v>0</v>
      </c>
      <c r="I15" s="409">
        <f t="shared" si="1"/>
        <v>0</v>
      </c>
      <c r="J15" s="409">
        <f t="shared" si="1"/>
        <v>0</v>
      </c>
      <c r="K15" s="409">
        <f t="shared" si="1"/>
        <v>0</v>
      </c>
      <c r="L15" s="409">
        <f t="shared" si="1"/>
        <v>0</v>
      </c>
      <c r="M15" s="409">
        <f t="shared" si="1"/>
        <v>0</v>
      </c>
      <c r="N15" s="410">
        <f t="shared" si="1"/>
        <v>0</v>
      </c>
      <c r="O15" s="933">
        <f>SUM(C15:N15)</f>
        <v>0</v>
      </c>
    </row>
    <row r="16" spans="1:15" ht="5.15" customHeight="1" x14ac:dyDescent="0.25">
      <c r="A16" s="273"/>
      <c r="B16" s="182"/>
      <c r="C16" s="203"/>
      <c r="D16" s="202"/>
      <c r="E16" s="205"/>
      <c r="F16" s="203"/>
      <c r="G16" s="204"/>
      <c r="H16" s="202"/>
      <c r="I16" s="203"/>
      <c r="J16" s="203"/>
      <c r="K16" s="203"/>
      <c r="L16" s="203"/>
      <c r="M16" s="203"/>
      <c r="N16" s="204"/>
      <c r="O16" s="586"/>
    </row>
    <row r="17" spans="1:15" x14ac:dyDescent="0.25">
      <c r="A17" s="249" t="s">
        <v>988</v>
      </c>
      <c r="B17" s="182">
        <v>2</v>
      </c>
      <c r="C17" s="218"/>
      <c r="D17" s="217"/>
      <c r="E17" s="220"/>
      <c r="F17" s="218"/>
      <c r="G17" s="219"/>
      <c r="H17" s="217"/>
      <c r="I17" s="218"/>
      <c r="J17" s="218"/>
      <c r="K17" s="218"/>
      <c r="L17" s="218"/>
      <c r="M17" s="218"/>
      <c r="N17" s="219"/>
      <c r="O17" s="586"/>
    </row>
    <row r="18" spans="1:15" x14ac:dyDescent="0.25">
      <c r="A18" s="1938" t="s">
        <v>399</v>
      </c>
      <c r="B18" s="182"/>
      <c r="C18" s="1614"/>
      <c r="D18" s="1636"/>
      <c r="E18" s="1635"/>
      <c r="F18" s="1614"/>
      <c r="G18" s="1634"/>
      <c r="H18" s="1636"/>
      <c r="I18" s="1614"/>
      <c r="J18" s="1614"/>
      <c r="K18" s="1614"/>
      <c r="L18" s="1614"/>
      <c r="M18" s="1614"/>
      <c r="N18" s="1634"/>
      <c r="O18" s="586">
        <f>SUM(C18:N18)</f>
        <v>0</v>
      </c>
    </row>
    <row r="19" spans="1:15" x14ac:dyDescent="0.25">
      <c r="A19" s="1938" t="s">
        <v>400</v>
      </c>
      <c r="B19" s="182"/>
      <c r="C19" s="1614"/>
      <c r="D19" s="1636"/>
      <c r="E19" s="1635"/>
      <c r="F19" s="1614"/>
      <c r="G19" s="1634"/>
      <c r="H19" s="1636"/>
      <c r="I19" s="1614"/>
      <c r="J19" s="1614"/>
      <c r="K19" s="1614"/>
      <c r="L19" s="1614"/>
      <c r="M19" s="1614"/>
      <c r="N19" s="1634"/>
      <c r="O19" s="586">
        <f>SUM(C19:N19)</f>
        <v>0</v>
      </c>
    </row>
    <row r="20" spans="1:15" x14ac:dyDescent="0.25">
      <c r="A20" s="1938" t="s">
        <v>401</v>
      </c>
      <c r="B20" s="182"/>
      <c r="C20" s="1614"/>
      <c r="D20" s="1636"/>
      <c r="E20" s="1635"/>
      <c r="F20" s="1614"/>
      <c r="G20" s="1634"/>
      <c r="H20" s="1636"/>
      <c r="I20" s="1614"/>
      <c r="J20" s="1614"/>
      <c r="K20" s="1614"/>
      <c r="L20" s="1614"/>
      <c r="M20" s="1614"/>
      <c r="N20" s="1634"/>
      <c r="O20" s="586">
        <f>SUM(C20:N20)</f>
        <v>0</v>
      </c>
    </row>
    <row r="21" spans="1:15" x14ac:dyDescent="0.25">
      <c r="A21" s="265" t="s">
        <v>1417</v>
      </c>
      <c r="B21" s="182"/>
      <c r="C21" s="409">
        <f t="shared" ref="C21:N21" si="2">SUM(C18:C20)</f>
        <v>0</v>
      </c>
      <c r="D21" s="412">
        <f t="shared" si="2"/>
        <v>0</v>
      </c>
      <c r="E21" s="411">
        <f t="shared" si="2"/>
        <v>0</v>
      </c>
      <c r="F21" s="409">
        <f t="shared" si="2"/>
        <v>0</v>
      </c>
      <c r="G21" s="410">
        <f t="shared" si="2"/>
        <v>0</v>
      </c>
      <c r="H21" s="412">
        <f t="shared" si="2"/>
        <v>0</v>
      </c>
      <c r="I21" s="409">
        <f t="shared" si="2"/>
        <v>0</v>
      </c>
      <c r="J21" s="409">
        <f t="shared" si="2"/>
        <v>0</v>
      </c>
      <c r="K21" s="409">
        <f t="shared" si="2"/>
        <v>0</v>
      </c>
      <c r="L21" s="409">
        <f t="shared" si="2"/>
        <v>0</v>
      </c>
      <c r="M21" s="409">
        <f t="shared" si="2"/>
        <v>0</v>
      </c>
      <c r="N21" s="410">
        <f t="shared" si="2"/>
        <v>0</v>
      </c>
      <c r="O21" s="933">
        <f>SUM(C21:N21)</f>
        <v>0</v>
      </c>
    </row>
    <row r="22" spans="1:15" ht="5.15" customHeight="1" x14ac:dyDescent="0.25">
      <c r="A22" s="273"/>
      <c r="B22" s="182"/>
      <c r="C22" s="203"/>
      <c r="D22" s="202"/>
      <c r="E22" s="205"/>
      <c r="F22" s="203"/>
      <c r="G22" s="204"/>
      <c r="H22" s="202"/>
      <c r="I22" s="203"/>
      <c r="J22" s="203"/>
      <c r="K22" s="203"/>
      <c r="L22" s="203"/>
      <c r="M22" s="203"/>
      <c r="N22" s="204"/>
      <c r="O22" s="586"/>
    </row>
    <row r="23" spans="1:15" x14ac:dyDescent="0.25">
      <c r="A23" s="281" t="s">
        <v>15</v>
      </c>
      <c r="B23" s="225"/>
      <c r="C23" s="230">
        <f>C15+C21</f>
        <v>0</v>
      </c>
      <c r="D23" s="231">
        <f t="shared" ref="D23:O23" si="3">D15+D21</f>
        <v>0</v>
      </c>
      <c r="E23" s="229">
        <f t="shared" si="3"/>
        <v>0</v>
      </c>
      <c r="F23" s="230">
        <f t="shared" si="3"/>
        <v>0</v>
      </c>
      <c r="G23" s="228">
        <f t="shared" si="3"/>
        <v>0</v>
      </c>
      <c r="H23" s="231">
        <f t="shared" si="3"/>
        <v>0</v>
      </c>
      <c r="I23" s="230">
        <f t="shared" si="3"/>
        <v>0</v>
      </c>
      <c r="J23" s="230">
        <f t="shared" si="3"/>
        <v>0</v>
      </c>
      <c r="K23" s="230">
        <f t="shared" si="3"/>
        <v>0</v>
      </c>
      <c r="L23" s="230">
        <f t="shared" si="3"/>
        <v>0</v>
      </c>
      <c r="M23" s="230">
        <f t="shared" si="3"/>
        <v>0</v>
      </c>
      <c r="N23" s="228">
        <f t="shared" si="3"/>
        <v>0</v>
      </c>
      <c r="O23" s="934">
        <f t="shared" si="3"/>
        <v>0</v>
      </c>
    </row>
    <row r="24" spans="1:15" ht="4.5" customHeight="1" x14ac:dyDescent="0.25">
      <c r="A24" s="249"/>
      <c r="B24" s="182"/>
      <c r="C24" s="315"/>
      <c r="D24" s="316"/>
      <c r="E24" s="317"/>
      <c r="F24" s="315"/>
      <c r="G24" s="318"/>
      <c r="H24" s="316"/>
      <c r="I24" s="315"/>
      <c r="J24" s="315"/>
      <c r="K24" s="315"/>
      <c r="L24" s="315"/>
      <c r="M24" s="315"/>
      <c r="N24" s="318"/>
      <c r="O24" s="932"/>
    </row>
    <row r="25" spans="1:15" x14ac:dyDescent="0.25">
      <c r="A25" s="265" t="s">
        <v>16</v>
      </c>
      <c r="B25" s="182"/>
      <c r="C25" s="315"/>
      <c r="D25" s="316"/>
      <c r="E25" s="317"/>
      <c r="F25" s="315"/>
      <c r="G25" s="318"/>
      <c r="H25" s="316"/>
      <c r="I25" s="315"/>
      <c r="J25" s="315"/>
      <c r="K25" s="315"/>
      <c r="L25" s="315"/>
      <c r="M25" s="315"/>
      <c r="N25" s="318"/>
      <c r="O25" s="932"/>
    </row>
    <row r="26" spans="1:15" ht="11.25" customHeight="1" x14ac:dyDescent="0.25">
      <c r="A26" s="249" t="s">
        <v>1606</v>
      </c>
      <c r="B26" s="182">
        <v>2</v>
      </c>
      <c r="C26" s="315"/>
      <c r="D26" s="316"/>
      <c r="E26" s="317"/>
      <c r="F26" s="315"/>
      <c r="G26" s="318"/>
      <c r="H26" s="316"/>
      <c r="I26" s="315"/>
      <c r="J26" s="315"/>
      <c r="K26" s="315"/>
      <c r="L26" s="315"/>
      <c r="M26" s="315"/>
      <c r="N26" s="318"/>
      <c r="O26" s="932"/>
    </row>
    <row r="27" spans="1:15" ht="11.25" customHeight="1" x14ac:dyDescent="0.25">
      <c r="A27" s="1938" t="s">
        <v>399</v>
      </c>
      <c r="B27" s="182"/>
      <c r="C27" s="1973"/>
      <c r="D27" s="1974"/>
      <c r="E27" s="1975"/>
      <c r="F27" s="1973"/>
      <c r="G27" s="1976"/>
      <c r="H27" s="1974"/>
      <c r="I27" s="1973"/>
      <c r="J27" s="1973"/>
      <c r="K27" s="1973"/>
      <c r="L27" s="1973"/>
      <c r="M27" s="1973"/>
      <c r="N27" s="1976"/>
      <c r="O27" s="586">
        <f>SUM(C27:N27)</f>
        <v>0</v>
      </c>
    </row>
    <row r="28" spans="1:15" ht="11.25" customHeight="1" x14ac:dyDescent="0.25">
      <c r="A28" s="1938" t="s">
        <v>400</v>
      </c>
      <c r="B28" s="182"/>
      <c r="C28" s="1647"/>
      <c r="D28" s="1650"/>
      <c r="E28" s="1649"/>
      <c r="F28" s="1647"/>
      <c r="G28" s="1648"/>
      <c r="H28" s="1650"/>
      <c r="I28" s="1647"/>
      <c r="J28" s="1647"/>
      <c r="K28" s="1647"/>
      <c r="L28" s="1647"/>
      <c r="M28" s="1647"/>
      <c r="N28" s="1648"/>
      <c r="O28" s="586">
        <f>SUM(C28:N28)</f>
        <v>0</v>
      </c>
    </row>
    <row r="29" spans="1:15" ht="11.25" customHeight="1" x14ac:dyDescent="0.25">
      <c r="A29" s="1938" t="s">
        <v>401</v>
      </c>
      <c r="B29" s="182"/>
      <c r="C29" s="1614"/>
      <c r="D29" s="1636"/>
      <c r="E29" s="1635"/>
      <c r="F29" s="1614"/>
      <c r="G29" s="1634"/>
      <c r="H29" s="1636"/>
      <c r="I29" s="1614"/>
      <c r="J29" s="1614"/>
      <c r="K29" s="1614"/>
      <c r="L29" s="1614"/>
      <c r="M29" s="1614"/>
      <c r="N29" s="1634"/>
      <c r="O29" s="586">
        <f>SUM(C29:N29)</f>
        <v>0</v>
      </c>
    </row>
    <row r="30" spans="1:15" ht="11.25" customHeight="1" x14ac:dyDescent="0.25">
      <c r="A30" s="265" t="s">
        <v>1342</v>
      </c>
      <c r="B30" s="182"/>
      <c r="C30" s="213">
        <f t="shared" ref="C30:N30" si="4">SUM(C27:C29)</f>
        <v>0</v>
      </c>
      <c r="D30" s="212">
        <f t="shared" si="4"/>
        <v>0</v>
      </c>
      <c r="E30" s="215">
        <f t="shared" si="4"/>
        <v>0</v>
      </c>
      <c r="F30" s="213">
        <f t="shared" si="4"/>
        <v>0</v>
      </c>
      <c r="G30" s="214">
        <f t="shared" si="4"/>
        <v>0</v>
      </c>
      <c r="H30" s="212">
        <f t="shared" si="4"/>
        <v>0</v>
      </c>
      <c r="I30" s="213">
        <f t="shared" si="4"/>
        <v>0</v>
      </c>
      <c r="J30" s="213">
        <f t="shared" si="4"/>
        <v>0</v>
      </c>
      <c r="K30" s="213">
        <f t="shared" si="4"/>
        <v>0</v>
      </c>
      <c r="L30" s="213">
        <f t="shared" si="4"/>
        <v>0</v>
      </c>
      <c r="M30" s="213">
        <f t="shared" si="4"/>
        <v>0</v>
      </c>
      <c r="N30" s="214">
        <f t="shared" si="4"/>
        <v>0</v>
      </c>
      <c r="O30" s="933">
        <f>SUM(C30:N30)</f>
        <v>0</v>
      </c>
    </row>
    <row r="31" spans="1:15" ht="5.15" customHeight="1" x14ac:dyDescent="0.25">
      <c r="A31" s="273"/>
      <c r="B31" s="182"/>
      <c r="C31" s="203"/>
      <c r="D31" s="202"/>
      <c r="E31" s="205"/>
      <c r="F31" s="203"/>
      <c r="G31" s="204"/>
      <c r="H31" s="202"/>
      <c r="I31" s="203"/>
      <c r="J31" s="203"/>
      <c r="K31" s="203"/>
      <c r="L31" s="203"/>
      <c r="M31" s="203"/>
      <c r="N31" s="204"/>
      <c r="O31" s="586"/>
    </row>
    <row r="32" spans="1:15" ht="11.25" customHeight="1" x14ac:dyDescent="0.25">
      <c r="A32" s="249" t="s">
        <v>987</v>
      </c>
      <c r="B32" s="182">
        <v>2</v>
      </c>
      <c r="C32" s="203"/>
      <c r="D32" s="202"/>
      <c r="E32" s="205"/>
      <c r="F32" s="203"/>
      <c r="G32" s="204"/>
      <c r="H32" s="202"/>
      <c r="I32" s="203"/>
      <c r="J32" s="203"/>
      <c r="K32" s="203"/>
      <c r="L32" s="203"/>
      <c r="M32" s="203"/>
      <c r="N32" s="204"/>
      <c r="O32" s="586"/>
    </row>
    <row r="33" spans="1:15" ht="11.25" customHeight="1" x14ac:dyDescent="0.25">
      <c r="A33" s="1938" t="s">
        <v>399</v>
      </c>
      <c r="B33" s="182"/>
      <c r="C33" s="1614"/>
      <c r="D33" s="1636"/>
      <c r="E33" s="1635"/>
      <c r="F33" s="1614"/>
      <c r="G33" s="1634"/>
      <c r="H33" s="1636"/>
      <c r="I33" s="1614"/>
      <c r="J33" s="1614"/>
      <c r="K33" s="1614"/>
      <c r="L33" s="1614"/>
      <c r="M33" s="1614"/>
      <c r="N33" s="1634"/>
      <c r="O33" s="586">
        <f>SUM(C33:N33)</f>
        <v>0</v>
      </c>
    </row>
    <row r="34" spans="1:15" ht="11.25" customHeight="1" x14ac:dyDescent="0.25">
      <c r="A34" s="1938" t="s">
        <v>400</v>
      </c>
      <c r="B34" s="182"/>
      <c r="C34" s="1614"/>
      <c r="D34" s="1636"/>
      <c r="E34" s="1635"/>
      <c r="F34" s="1614"/>
      <c r="G34" s="1634"/>
      <c r="H34" s="1636"/>
      <c r="I34" s="1614"/>
      <c r="J34" s="1614"/>
      <c r="K34" s="1614"/>
      <c r="L34" s="1614"/>
      <c r="M34" s="1614"/>
      <c r="N34" s="1634"/>
      <c r="O34" s="586">
        <f>SUM(C34:N34)</f>
        <v>0</v>
      </c>
    </row>
    <row r="35" spans="1:15" ht="11.25" customHeight="1" x14ac:dyDescent="0.25">
      <c r="A35" s="1938" t="s">
        <v>401</v>
      </c>
      <c r="B35" s="182"/>
      <c r="C35" s="1614"/>
      <c r="D35" s="1636"/>
      <c r="E35" s="1635"/>
      <c r="F35" s="1614"/>
      <c r="G35" s="1634"/>
      <c r="H35" s="1636"/>
      <c r="I35" s="1614"/>
      <c r="J35" s="1614"/>
      <c r="K35" s="1614"/>
      <c r="L35" s="1614"/>
      <c r="M35" s="1614"/>
      <c r="N35" s="1634"/>
      <c r="O35" s="586">
        <f>SUM(C35:N35)</f>
        <v>0</v>
      </c>
    </row>
    <row r="36" spans="1:15" ht="11.25" customHeight="1" x14ac:dyDescent="0.25">
      <c r="A36" s="265" t="s">
        <v>989</v>
      </c>
      <c r="B36" s="182"/>
      <c r="C36" s="409">
        <f t="shared" ref="C36:N36" si="5">SUM(C33:C35)</f>
        <v>0</v>
      </c>
      <c r="D36" s="412">
        <f t="shared" si="5"/>
        <v>0</v>
      </c>
      <c r="E36" s="411">
        <f t="shared" si="5"/>
        <v>0</v>
      </c>
      <c r="F36" s="409">
        <f t="shared" si="5"/>
        <v>0</v>
      </c>
      <c r="G36" s="410">
        <f t="shared" si="5"/>
        <v>0</v>
      </c>
      <c r="H36" s="412">
        <f t="shared" si="5"/>
        <v>0</v>
      </c>
      <c r="I36" s="409">
        <f t="shared" si="5"/>
        <v>0</v>
      </c>
      <c r="J36" s="409">
        <f t="shared" si="5"/>
        <v>0</v>
      </c>
      <c r="K36" s="409">
        <f t="shared" si="5"/>
        <v>0</v>
      </c>
      <c r="L36" s="409">
        <f t="shared" si="5"/>
        <v>0</v>
      </c>
      <c r="M36" s="409">
        <f t="shared" si="5"/>
        <v>0</v>
      </c>
      <c r="N36" s="410">
        <f t="shared" si="5"/>
        <v>0</v>
      </c>
      <c r="O36" s="933">
        <f>SUM(C36:N36)</f>
        <v>0</v>
      </c>
    </row>
    <row r="37" spans="1:15" ht="5.15" customHeight="1" x14ac:dyDescent="0.25">
      <c r="A37" s="273"/>
      <c r="B37" s="182"/>
      <c r="C37" s="203"/>
      <c r="D37" s="202"/>
      <c r="E37" s="205"/>
      <c r="F37" s="203"/>
      <c r="G37" s="204"/>
      <c r="H37" s="202"/>
      <c r="I37" s="203"/>
      <c r="J37" s="203"/>
      <c r="K37" s="203"/>
      <c r="L37" s="203"/>
      <c r="M37" s="203"/>
      <c r="N37" s="204"/>
      <c r="O37" s="1069"/>
    </row>
    <row r="38" spans="1:15" ht="11.25" customHeight="1" x14ac:dyDescent="0.25">
      <c r="A38" s="249" t="s">
        <v>988</v>
      </c>
      <c r="B38" s="182">
        <v>2</v>
      </c>
      <c r="C38" s="218"/>
      <c r="D38" s="217"/>
      <c r="E38" s="220"/>
      <c r="F38" s="218"/>
      <c r="G38" s="219"/>
      <c r="H38" s="217"/>
      <c r="I38" s="218"/>
      <c r="J38" s="218"/>
      <c r="K38" s="218"/>
      <c r="L38" s="218"/>
      <c r="M38" s="218"/>
      <c r="N38" s="219"/>
      <c r="O38" s="586"/>
    </row>
    <row r="39" spans="1:15" ht="11.25" customHeight="1" x14ac:dyDescent="0.25">
      <c r="A39" s="1938" t="s">
        <v>399</v>
      </c>
      <c r="B39" s="182"/>
      <c r="C39" s="1614"/>
      <c r="D39" s="1636"/>
      <c r="E39" s="1635"/>
      <c r="F39" s="1614"/>
      <c r="G39" s="1634"/>
      <c r="H39" s="1636"/>
      <c r="I39" s="1614"/>
      <c r="J39" s="1614"/>
      <c r="K39" s="1614"/>
      <c r="L39" s="1614"/>
      <c r="M39" s="1614"/>
      <c r="N39" s="1634"/>
      <c r="O39" s="586">
        <f>SUM(C39:N39)</f>
        <v>0</v>
      </c>
    </row>
    <row r="40" spans="1:15" ht="11.25" customHeight="1" x14ac:dyDescent="0.25">
      <c r="A40" s="1938" t="s">
        <v>400</v>
      </c>
      <c r="B40" s="182"/>
      <c r="C40" s="1614"/>
      <c r="D40" s="1636"/>
      <c r="E40" s="1635"/>
      <c r="F40" s="1614"/>
      <c r="G40" s="1634"/>
      <c r="H40" s="1636"/>
      <c r="I40" s="1614"/>
      <c r="J40" s="1614"/>
      <c r="K40" s="1614"/>
      <c r="L40" s="1614"/>
      <c r="M40" s="1614"/>
      <c r="N40" s="1634"/>
      <c r="O40" s="586">
        <f>SUM(C40:N40)</f>
        <v>0</v>
      </c>
    </row>
    <row r="41" spans="1:15" ht="11.25" customHeight="1" x14ac:dyDescent="0.25">
      <c r="A41" s="1938" t="s">
        <v>401</v>
      </c>
      <c r="B41" s="182"/>
      <c r="C41" s="1614"/>
      <c r="D41" s="1636"/>
      <c r="E41" s="1635"/>
      <c r="F41" s="1614"/>
      <c r="G41" s="1634"/>
      <c r="H41" s="1636"/>
      <c r="I41" s="1614"/>
      <c r="J41" s="1614"/>
      <c r="K41" s="1614"/>
      <c r="L41" s="1614"/>
      <c r="M41" s="1614"/>
      <c r="N41" s="1634"/>
      <c r="O41" s="586">
        <f>SUM(C41:N41)</f>
        <v>0</v>
      </c>
    </row>
    <row r="42" spans="1:15" ht="11.25" customHeight="1" x14ac:dyDescent="0.25">
      <c r="A42" s="265" t="s">
        <v>1417</v>
      </c>
      <c r="B42" s="182"/>
      <c r="C42" s="409">
        <f t="shared" ref="C42:N42" si="6">SUM(C39:C41)</f>
        <v>0</v>
      </c>
      <c r="D42" s="412">
        <f t="shared" si="6"/>
        <v>0</v>
      </c>
      <c r="E42" s="411">
        <f t="shared" si="6"/>
        <v>0</v>
      </c>
      <c r="F42" s="409">
        <f t="shared" si="6"/>
        <v>0</v>
      </c>
      <c r="G42" s="410">
        <f t="shared" si="6"/>
        <v>0</v>
      </c>
      <c r="H42" s="412">
        <f t="shared" si="6"/>
        <v>0</v>
      </c>
      <c r="I42" s="409">
        <f t="shared" si="6"/>
        <v>0</v>
      </c>
      <c r="J42" s="409">
        <f t="shared" si="6"/>
        <v>0</v>
      </c>
      <c r="K42" s="409">
        <f t="shared" si="6"/>
        <v>0</v>
      </c>
      <c r="L42" s="409">
        <f t="shared" si="6"/>
        <v>0</v>
      </c>
      <c r="M42" s="409">
        <f t="shared" si="6"/>
        <v>0</v>
      </c>
      <c r="N42" s="410">
        <f t="shared" si="6"/>
        <v>0</v>
      </c>
      <c r="O42" s="933">
        <f>SUM(C42:N42)</f>
        <v>0</v>
      </c>
    </row>
    <row r="43" spans="1:15" ht="5.15" customHeight="1" x14ac:dyDescent="0.25">
      <c r="A43" s="273"/>
      <c r="B43" s="182"/>
      <c r="C43" s="203"/>
      <c r="D43" s="202"/>
      <c r="E43" s="205"/>
      <c r="F43" s="203"/>
      <c r="G43" s="204"/>
      <c r="H43" s="202"/>
      <c r="I43" s="203"/>
      <c r="J43" s="203"/>
      <c r="K43" s="203"/>
      <c r="L43" s="203"/>
      <c r="M43" s="203"/>
      <c r="N43" s="204"/>
      <c r="O43" s="586"/>
    </row>
    <row r="44" spans="1:15" ht="11.25" customHeight="1" x14ac:dyDescent="0.25">
      <c r="A44" s="281" t="s">
        <v>17</v>
      </c>
      <c r="B44" s="225"/>
      <c r="C44" s="230">
        <f>C36+C42</f>
        <v>0</v>
      </c>
      <c r="D44" s="231">
        <f t="shared" ref="D44:O44" si="7">D36+D42</f>
        <v>0</v>
      </c>
      <c r="E44" s="229">
        <f t="shared" si="7"/>
        <v>0</v>
      </c>
      <c r="F44" s="230">
        <f t="shared" si="7"/>
        <v>0</v>
      </c>
      <c r="G44" s="228">
        <f t="shared" si="7"/>
        <v>0</v>
      </c>
      <c r="H44" s="231">
        <f t="shared" si="7"/>
        <v>0</v>
      </c>
      <c r="I44" s="230">
        <f t="shared" si="7"/>
        <v>0</v>
      </c>
      <c r="J44" s="230">
        <f t="shared" si="7"/>
        <v>0</v>
      </c>
      <c r="K44" s="230">
        <f t="shared" si="7"/>
        <v>0</v>
      </c>
      <c r="L44" s="230">
        <f t="shared" si="7"/>
        <v>0</v>
      </c>
      <c r="M44" s="230">
        <f t="shared" si="7"/>
        <v>0</v>
      </c>
      <c r="N44" s="228">
        <f t="shared" si="7"/>
        <v>0</v>
      </c>
      <c r="O44" s="934">
        <f t="shared" si="7"/>
        <v>0</v>
      </c>
    </row>
    <row r="45" spans="1:15" s="709" customFormat="1" x14ac:dyDescent="0.25">
      <c r="A45" s="1261" t="str">
        <f>head27a</f>
        <v>References</v>
      </c>
      <c r="B45" s="1038"/>
      <c r="C45" s="1042"/>
      <c r="D45" s="1042"/>
      <c r="E45" s="1042"/>
      <c r="F45" s="1042"/>
      <c r="G45" s="1042"/>
      <c r="H45" s="1042"/>
      <c r="I45" s="1042"/>
      <c r="J45" s="1042"/>
      <c r="K45" s="1042"/>
      <c r="L45" s="1042"/>
      <c r="M45" s="1042"/>
      <c r="N45" s="1042"/>
      <c r="O45" s="1079"/>
    </row>
    <row r="46" spans="1:15" s="709" customFormat="1" ht="11.25" customHeight="1" x14ac:dyDescent="0.25">
      <c r="A46" s="1416" t="s">
        <v>18</v>
      </c>
      <c r="B46" s="1038"/>
      <c r="C46" s="1041"/>
      <c r="D46" s="1042"/>
      <c r="E46" s="1042"/>
      <c r="F46" s="1042"/>
      <c r="G46" s="1042"/>
    </row>
    <row r="47" spans="1:15" s="709" customFormat="1" ht="11.25" customHeight="1" x14ac:dyDescent="0.25">
      <c r="A47" s="1262" t="s">
        <v>1427</v>
      </c>
      <c r="B47" s="1038"/>
      <c r="C47" s="1041"/>
      <c r="D47" s="1042"/>
      <c r="E47" s="1042"/>
      <c r="F47" s="1042"/>
      <c r="G47" s="1042"/>
    </row>
    <row r="48" spans="1:15" ht="24.75" customHeight="1" x14ac:dyDescent="0.25">
      <c r="A48" s="2749" t="s">
        <v>685</v>
      </c>
      <c r="B48" s="2750"/>
      <c r="C48" s="2750"/>
      <c r="D48" s="2750"/>
      <c r="E48" s="2750"/>
      <c r="F48" s="2750"/>
      <c r="G48" s="2750"/>
      <c r="H48" s="2750"/>
      <c r="I48" s="2750"/>
      <c r="J48" s="2750"/>
      <c r="K48" s="2750"/>
      <c r="L48" s="2750"/>
      <c r="M48" s="2750"/>
      <c r="N48" s="2750"/>
    </row>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sheetProtection sheet="1" objects="1" scenarios="1"/>
  <mergeCells count="2">
    <mergeCell ref="E2:G2"/>
    <mergeCell ref="A48:N48"/>
  </mergeCells>
  <phoneticPr fontId="2" type="noConversion"/>
  <printOptions horizontalCentered="1"/>
  <pageMargins left="0" right="0" top="0.78740157480314965" bottom="0.59055118110236227" header="0.51181102362204722" footer="0.39370078740157483"/>
  <pageSetup paperSize="9" scale="8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enableFormatConditionsCalculation="0">
    <tabColor indexed="42"/>
    <pageSetUpPr fitToPage="1"/>
  </sheetPr>
  <dimension ref="A1:O132"/>
  <sheetViews>
    <sheetView showGridLines="0" zoomScaleNormal="100" workbookViewId="0">
      <pane xSplit="2" ySplit="3" topLeftCell="C82" activePane="bottomRight" state="frozen"/>
      <selection pane="topRight"/>
      <selection pane="bottomLeft"/>
      <selection pane="bottomRight" activeCell="I97" sqref="I97"/>
    </sheetView>
  </sheetViews>
  <sheetFormatPr defaultColWidth="9.1796875" defaultRowHeight="10.5" x14ac:dyDescent="0.25"/>
  <cols>
    <col min="1" max="1" width="30.7265625" style="149" customWidth="1"/>
    <col min="2" max="2" width="3" style="247" customWidth="1"/>
    <col min="3" max="11" width="9.26953125" style="149" customWidth="1"/>
    <col min="12" max="12" width="9.7265625" style="149" customWidth="1"/>
    <col min="13" max="13" width="9.54296875" style="149" customWidth="1"/>
    <col min="14" max="14" width="9.81640625" style="149" customWidth="1"/>
    <col min="15" max="17" width="9.54296875" style="149" customWidth="1"/>
    <col min="18" max="18" width="9.81640625" style="149" customWidth="1"/>
    <col min="19" max="21" width="9.54296875" style="149" customWidth="1"/>
    <col min="22" max="23" width="9.81640625" style="149" customWidth="1"/>
    <col min="24" max="16384" width="9.1796875" style="149"/>
  </cols>
  <sheetData>
    <row r="1" spans="1:12" ht="13.5" customHeight="1" x14ac:dyDescent="0.3">
      <c r="A1" s="147" t="str">
        <f>muni&amp;" - "&amp;TableA34a</f>
        <v>KZN225 Msunduzi - Supporting Table SA34a Consolidated capital expenditure on new assets by asset class</v>
      </c>
      <c r="B1" s="147"/>
      <c r="C1" s="147"/>
      <c r="D1" s="147"/>
      <c r="E1" s="147"/>
      <c r="F1" s="147"/>
      <c r="G1" s="147"/>
      <c r="H1" s="147"/>
      <c r="I1" s="147"/>
      <c r="J1" s="147"/>
      <c r="K1" s="147"/>
    </row>
    <row r="2" spans="1:12" ht="28.5" customHeight="1" x14ac:dyDescent="0.25">
      <c r="A2" s="985" t="str">
        <f>desc</f>
        <v>Description</v>
      </c>
      <c r="B2" s="419" t="str">
        <f>head27</f>
        <v>Ref</v>
      </c>
      <c r="C2" s="150" t="str">
        <f>head1b</f>
        <v>2009/10</v>
      </c>
      <c r="D2" s="756" t="str">
        <f>head1A</f>
        <v>2010/11</v>
      </c>
      <c r="E2" s="146" t="str">
        <f>Head1</f>
        <v>2011/12</v>
      </c>
      <c r="F2" s="2677" t="str">
        <f>Head2</f>
        <v>Current Year 2012/13</v>
      </c>
      <c r="G2" s="2678"/>
      <c r="H2" s="2678"/>
      <c r="I2" s="2674" t="str">
        <f>Head3</f>
        <v>2013/14 Medium Term Revenue &amp; Expenditure Framework</v>
      </c>
      <c r="J2" s="2675"/>
      <c r="K2" s="2676"/>
    </row>
    <row r="3" spans="1:12" ht="21" x14ac:dyDescent="0.25">
      <c r="A3" s="180" t="s">
        <v>665</v>
      </c>
      <c r="B3" s="986">
        <v>1</v>
      </c>
      <c r="C3" s="390" t="str">
        <f>Head5</f>
        <v>Audited Outcome</v>
      </c>
      <c r="D3" s="999" t="str">
        <f>Head5</f>
        <v>Audited Outcome</v>
      </c>
      <c r="E3" s="391" t="str">
        <f>Head5</f>
        <v>Audited Outcome</v>
      </c>
      <c r="F3" s="299" t="str">
        <f>Head6</f>
        <v>Original Budget</v>
      </c>
      <c r="G3" s="390" t="str">
        <f>Head7</f>
        <v>Adjusted Budget</v>
      </c>
      <c r="H3" s="389" t="str">
        <f>Head8</f>
        <v>Full Year Forecast</v>
      </c>
      <c r="I3" s="299" t="str">
        <f>Head9</f>
        <v>Budget Year 2013/14</v>
      </c>
      <c r="J3" s="390" t="str">
        <f>Head10</f>
        <v>Budget Year +1 2014/15</v>
      </c>
      <c r="K3" s="391" t="str">
        <f>Head11</f>
        <v>Budget Year +2 2015/16</v>
      </c>
    </row>
    <row r="4" spans="1:12" ht="11.25" customHeight="1" x14ac:dyDescent="0.25">
      <c r="A4" s="861" t="s">
        <v>1229</v>
      </c>
      <c r="B4" s="749"/>
      <c r="C4" s="1099"/>
      <c r="D4" s="311"/>
      <c r="E4" s="314"/>
      <c r="F4" s="313"/>
      <c r="G4" s="311"/>
      <c r="H4" s="312"/>
      <c r="I4" s="313"/>
      <c r="J4" s="311"/>
      <c r="K4" s="314"/>
      <c r="L4" s="370"/>
    </row>
    <row r="5" spans="1:12" ht="5.15" customHeight="1" x14ac:dyDescent="0.25">
      <c r="A5" s="249"/>
      <c r="B5" s="182"/>
      <c r="C5" s="315"/>
      <c r="D5" s="315"/>
      <c r="E5" s="318"/>
      <c r="F5" s="317"/>
      <c r="G5" s="315"/>
      <c r="H5" s="316"/>
      <c r="I5" s="317"/>
      <c r="J5" s="315"/>
      <c r="K5" s="318"/>
      <c r="L5" s="370"/>
    </row>
    <row r="6" spans="1:12" ht="11.25" customHeight="1" x14ac:dyDescent="0.25">
      <c r="A6" s="249" t="s">
        <v>974</v>
      </c>
      <c r="B6" s="182"/>
      <c r="C6" s="394">
        <f t="shared" ref="C6:K6" si="0">C7+C10+C14+C18+C21</f>
        <v>126493934</v>
      </c>
      <c r="D6" s="394">
        <f t="shared" si="0"/>
        <v>18176425.740000002</v>
      </c>
      <c r="E6" s="345">
        <f t="shared" si="0"/>
        <v>0</v>
      </c>
      <c r="F6" s="395">
        <f t="shared" si="0"/>
        <v>89502410</v>
      </c>
      <c r="G6" s="394">
        <f t="shared" si="0"/>
        <v>95515179</v>
      </c>
      <c r="H6" s="396">
        <f t="shared" si="0"/>
        <v>95515179</v>
      </c>
      <c r="I6" s="395">
        <f t="shared" si="0"/>
        <v>157780000</v>
      </c>
      <c r="J6" s="394">
        <f t="shared" si="0"/>
        <v>43642000</v>
      </c>
      <c r="K6" s="345">
        <f t="shared" si="0"/>
        <v>28200000</v>
      </c>
      <c r="L6" s="1556"/>
    </row>
    <row r="7" spans="1:12" s="1532" customFormat="1" ht="12.5" x14ac:dyDescent="0.25">
      <c r="A7" s="250" t="s">
        <v>534</v>
      </c>
      <c r="B7" s="182"/>
      <c r="C7" s="1110">
        <f>SUM(C8:C9)</f>
        <v>32581294</v>
      </c>
      <c r="D7" s="1110">
        <f t="shared" ref="D7:K7" si="1">SUM(D8:D9)</f>
        <v>10753424</v>
      </c>
      <c r="E7" s="1423">
        <f t="shared" si="1"/>
        <v>0</v>
      </c>
      <c r="F7" s="1111">
        <f t="shared" si="1"/>
        <v>45000000</v>
      </c>
      <c r="G7" s="1110">
        <f t="shared" si="1"/>
        <v>0</v>
      </c>
      <c r="H7" s="1147">
        <f t="shared" si="1"/>
        <v>0</v>
      </c>
      <c r="I7" s="1424">
        <f t="shared" si="1"/>
        <v>4780000</v>
      </c>
      <c r="J7" s="1110">
        <f t="shared" si="1"/>
        <v>3250000</v>
      </c>
      <c r="K7" s="1147">
        <f t="shared" si="1"/>
        <v>1200000</v>
      </c>
      <c r="L7" s="370"/>
    </row>
    <row r="8" spans="1:12" s="1532" customFormat="1" ht="12.5" x14ac:dyDescent="0.25">
      <c r="A8" s="1289" t="s">
        <v>535</v>
      </c>
      <c r="B8" s="182"/>
      <c r="C8" s="1614">
        <v>32581294</v>
      </c>
      <c r="D8" s="1614">
        <v>10753424</v>
      </c>
      <c r="E8" s="1634"/>
      <c r="F8" s="1635">
        <v>45000000</v>
      </c>
      <c r="G8" s="1053">
        <f>-45000000+F8</f>
        <v>0</v>
      </c>
      <c r="H8" s="1053">
        <f>G8</f>
        <v>0</v>
      </c>
      <c r="I8" s="1614">
        <v>4780000</v>
      </c>
      <c r="J8" s="1614">
        <v>3250000</v>
      </c>
      <c r="K8" s="1634">
        <v>1200000</v>
      </c>
      <c r="L8" s="1556"/>
    </row>
    <row r="9" spans="1:12" s="1532" customFormat="1" ht="12.5" x14ac:dyDescent="0.25">
      <c r="A9" s="1289" t="s">
        <v>536</v>
      </c>
      <c r="B9" s="182"/>
      <c r="C9" s="1614"/>
      <c r="D9" s="1614"/>
      <c r="E9" s="1634"/>
      <c r="F9" s="1635"/>
      <c r="G9" s="1614"/>
      <c r="H9" s="1636"/>
      <c r="I9" s="1614"/>
      <c r="J9" s="1614"/>
      <c r="K9" s="1634"/>
      <c r="L9" s="1557"/>
    </row>
    <row r="10" spans="1:12" s="1532" customFormat="1" ht="12.5" x14ac:dyDescent="0.25">
      <c r="A10" s="250" t="s">
        <v>21</v>
      </c>
      <c r="B10" s="182"/>
      <c r="C10" s="1063">
        <f>SUM(C11:C13)</f>
        <v>21458564</v>
      </c>
      <c r="D10" s="1063">
        <f t="shared" ref="D10:K10" si="2">SUM(D11:D13)</f>
        <v>5482116.6200000001</v>
      </c>
      <c r="E10" s="1425">
        <f t="shared" si="2"/>
        <v>0</v>
      </c>
      <c r="F10" s="1067">
        <f t="shared" si="2"/>
        <v>4082960</v>
      </c>
      <c r="G10" s="1063">
        <f t="shared" si="2"/>
        <v>53095729</v>
      </c>
      <c r="H10" s="1150">
        <f t="shared" si="2"/>
        <v>53095729</v>
      </c>
      <c r="I10" s="1426">
        <f t="shared" si="2"/>
        <v>151000000</v>
      </c>
      <c r="J10" s="1063">
        <f t="shared" si="2"/>
        <v>38392000</v>
      </c>
      <c r="K10" s="1150">
        <f t="shared" si="2"/>
        <v>21000000</v>
      </c>
      <c r="L10" s="1557"/>
    </row>
    <row r="11" spans="1:12" s="1532" customFormat="1" ht="12.5" x14ac:dyDescent="0.25">
      <c r="A11" s="1289" t="s">
        <v>22</v>
      </c>
      <c r="B11" s="182"/>
      <c r="C11" s="1614"/>
      <c r="D11" s="1614"/>
      <c r="E11" s="1615"/>
      <c r="F11" s="1616">
        <v>0</v>
      </c>
      <c r="G11" s="1053">
        <f>49012769+F11</f>
        <v>49012769</v>
      </c>
      <c r="H11" s="1053">
        <v>49012769</v>
      </c>
      <c r="I11" s="1618">
        <f>151000000</f>
        <v>151000000</v>
      </c>
      <c r="J11" s="1614">
        <f>38392000</f>
        <v>38392000</v>
      </c>
      <c r="K11" s="1617">
        <v>21000000</v>
      </c>
      <c r="L11" s="1557"/>
    </row>
    <row r="12" spans="1:12" s="1532" customFormat="1" ht="12.5" x14ac:dyDescent="0.25">
      <c r="A12" s="1289" t="s">
        <v>23</v>
      </c>
      <c r="B12" s="182"/>
      <c r="C12" s="1614">
        <v>15056719</v>
      </c>
      <c r="D12" s="1614">
        <v>4255038</v>
      </c>
      <c r="E12" s="1615"/>
      <c r="F12" s="1616">
        <v>0</v>
      </c>
      <c r="G12" s="1053">
        <v>0</v>
      </c>
      <c r="H12" s="1617">
        <v>0</v>
      </c>
      <c r="I12" s="1618"/>
      <c r="J12" s="1614"/>
      <c r="K12" s="1617"/>
      <c r="L12" s="1557"/>
    </row>
    <row r="13" spans="1:12" s="1532" customFormat="1" ht="12.5" x14ac:dyDescent="0.25">
      <c r="A13" s="1289" t="s">
        <v>137</v>
      </c>
      <c r="B13" s="182"/>
      <c r="C13" s="1614">
        <v>6401845</v>
      </c>
      <c r="D13" s="1614">
        <v>1227078.6200000001</v>
      </c>
      <c r="E13" s="1615"/>
      <c r="F13" s="1616">
        <v>4082960</v>
      </c>
      <c r="G13" s="1053">
        <f>F13</f>
        <v>4082960</v>
      </c>
      <c r="H13" s="1617">
        <f>G13</f>
        <v>4082960</v>
      </c>
      <c r="I13" s="1618"/>
      <c r="J13" s="1614"/>
      <c r="K13" s="1617"/>
      <c r="L13" s="1557"/>
    </row>
    <row r="14" spans="1:12" s="1532" customFormat="1" ht="12.5" x14ac:dyDescent="0.25">
      <c r="A14" s="254" t="s">
        <v>24</v>
      </c>
      <c r="B14" s="350"/>
      <c r="C14" s="1063">
        <f>SUM(C15:C17)</f>
        <v>16849925</v>
      </c>
      <c r="D14" s="1063">
        <f t="shared" ref="D14:K14" si="3">SUM(D15:D17)</f>
        <v>885714</v>
      </c>
      <c r="E14" s="1425">
        <f t="shared" si="3"/>
        <v>0</v>
      </c>
      <c r="F14" s="1067">
        <f t="shared" si="3"/>
        <v>25419450</v>
      </c>
      <c r="G14" s="1063">
        <f t="shared" si="3"/>
        <v>27419450</v>
      </c>
      <c r="H14" s="1150">
        <f t="shared" si="3"/>
        <v>27419450</v>
      </c>
      <c r="I14" s="1426">
        <f t="shared" si="3"/>
        <v>0</v>
      </c>
      <c r="J14" s="1063">
        <f t="shared" si="3"/>
        <v>0</v>
      </c>
      <c r="K14" s="1150">
        <f t="shared" si="3"/>
        <v>0</v>
      </c>
      <c r="L14" s="1557"/>
    </row>
    <row r="15" spans="1:12" s="1532" customFormat="1" ht="12.5" x14ac:dyDescent="0.25">
      <c r="A15" s="1289" t="s">
        <v>25</v>
      </c>
      <c r="B15" s="182"/>
      <c r="C15" s="1614"/>
      <c r="D15" s="1614">
        <v>885714</v>
      </c>
      <c r="E15" s="1615"/>
      <c r="F15" s="1616"/>
      <c r="G15" s="1053"/>
      <c r="H15" s="1617"/>
      <c r="I15" s="1618"/>
      <c r="J15" s="1614"/>
      <c r="K15" s="1617"/>
      <c r="L15" s="1557"/>
    </row>
    <row r="16" spans="1:12" s="1532" customFormat="1" ht="12.5" x14ac:dyDescent="0.25">
      <c r="A16" s="1289" t="s">
        <v>26</v>
      </c>
      <c r="B16" s="182"/>
      <c r="C16" s="1614"/>
      <c r="D16" s="1614"/>
      <c r="E16" s="1615"/>
      <c r="F16" s="1616"/>
      <c r="G16" s="1053"/>
      <c r="H16" s="1617"/>
      <c r="I16" s="1618"/>
      <c r="J16" s="1614"/>
      <c r="K16" s="1617"/>
      <c r="L16" s="1557"/>
    </row>
    <row r="17" spans="1:12" s="1532" customFormat="1" ht="12.5" x14ac:dyDescent="0.25">
      <c r="A17" s="1289" t="s">
        <v>27</v>
      </c>
      <c r="B17" s="182"/>
      <c r="C17" s="1614">
        <v>16849925</v>
      </c>
      <c r="D17" s="1614"/>
      <c r="E17" s="1615"/>
      <c r="F17" s="1616">
        <v>25419450</v>
      </c>
      <c r="G17" s="1053">
        <f>2000000+F17</f>
        <v>27419450</v>
      </c>
      <c r="H17" s="1053">
        <f>G17</f>
        <v>27419450</v>
      </c>
      <c r="I17" s="1618"/>
      <c r="J17" s="1614"/>
      <c r="K17" s="1617"/>
      <c r="L17" s="1557"/>
    </row>
    <row r="18" spans="1:12" s="1532" customFormat="1" ht="12.5" x14ac:dyDescent="0.25">
      <c r="A18" s="254" t="s">
        <v>28</v>
      </c>
      <c r="B18" s="182"/>
      <c r="C18" s="1063">
        <f t="shared" ref="C18:K18" si="4">SUM(C19:C20)</f>
        <v>0</v>
      </c>
      <c r="D18" s="1063">
        <f t="shared" si="4"/>
        <v>1055171.1200000001</v>
      </c>
      <c r="E18" s="1425">
        <f t="shared" si="4"/>
        <v>0</v>
      </c>
      <c r="F18" s="1067">
        <f t="shared" si="4"/>
        <v>0</v>
      </c>
      <c r="G18" s="1063">
        <f t="shared" si="4"/>
        <v>0</v>
      </c>
      <c r="H18" s="1150">
        <f t="shared" si="4"/>
        <v>0</v>
      </c>
      <c r="I18" s="1426">
        <f t="shared" si="4"/>
        <v>2000000</v>
      </c>
      <c r="J18" s="1063">
        <f t="shared" si="4"/>
        <v>2000000</v>
      </c>
      <c r="K18" s="1150">
        <f t="shared" si="4"/>
        <v>6000000</v>
      </c>
      <c r="L18" s="1557"/>
    </row>
    <row r="19" spans="1:12" s="1532" customFormat="1" ht="12.5" x14ac:dyDescent="0.25">
      <c r="A19" s="1289" t="s">
        <v>27</v>
      </c>
      <c r="B19" s="182"/>
      <c r="C19" s="1614"/>
      <c r="D19" s="1614">
        <v>1055171.1200000001</v>
      </c>
      <c r="E19" s="1615"/>
      <c r="F19" s="1616"/>
      <c r="G19" s="1614"/>
      <c r="H19" s="1617"/>
      <c r="I19" s="1618">
        <v>2000000</v>
      </c>
      <c r="J19" s="1614">
        <v>2000000</v>
      </c>
      <c r="K19" s="1617">
        <v>6000000</v>
      </c>
      <c r="L19" s="1557"/>
    </row>
    <row r="20" spans="1:12" s="1532" customFormat="1" ht="12.5" x14ac:dyDescent="0.25">
      <c r="A20" s="1289" t="s">
        <v>29</v>
      </c>
      <c r="B20" s="182"/>
      <c r="C20" s="1614"/>
      <c r="D20" s="1614"/>
      <c r="E20" s="1615"/>
      <c r="F20" s="1616"/>
      <c r="G20" s="1614"/>
      <c r="H20" s="1617"/>
      <c r="I20" s="1618"/>
      <c r="J20" s="1614"/>
      <c r="K20" s="1617"/>
      <c r="L20" s="1557"/>
    </row>
    <row r="21" spans="1:12" s="1532" customFormat="1" ht="12.5" x14ac:dyDescent="0.25">
      <c r="A21" s="250" t="s">
        <v>30</v>
      </c>
      <c r="B21" s="182"/>
      <c r="C21" s="1063">
        <f>SUM(C22:C25)</f>
        <v>55604151</v>
      </c>
      <c r="D21" s="1063">
        <f t="shared" ref="D21:K21" si="5">SUM(D22:D25)</f>
        <v>0</v>
      </c>
      <c r="E21" s="1063">
        <f t="shared" si="5"/>
        <v>0</v>
      </c>
      <c r="F21" s="1067">
        <f t="shared" si="5"/>
        <v>15000000</v>
      </c>
      <c r="G21" s="1063">
        <f t="shared" si="5"/>
        <v>15000000</v>
      </c>
      <c r="H21" s="1150">
        <f t="shared" si="5"/>
        <v>15000000</v>
      </c>
      <c r="I21" s="1426">
        <f t="shared" si="5"/>
        <v>0</v>
      </c>
      <c r="J21" s="1063">
        <f t="shared" si="5"/>
        <v>0</v>
      </c>
      <c r="K21" s="1150">
        <f t="shared" si="5"/>
        <v>0</v>
      </c>
      <c r="L21" s="1557"/>
    </row>
    <row r="22" spans="1:12" s="1532" customFormat="1" ht="12.5" x14ac:dyDescent="0.25">
      <c r="A22" s="1289" t="s">
        <v>1084</v>
      </c>
      <c r="B22" s="182"/>
      <c r="C22" s="1614">
        <v>53158188</v>
      </c>
      <c r="D22" s="1614"/>
      <c r="E22" s="1636"/>
      <c r="F22" s="1635">
        <v>15000000</v>
      </c>
      <c r="G22" s="1614">
        <f>F22</f>
        <v>15000000</v>
      </c>
      <c r="H22" s="1636">
        <f>G22</f>
        <v>15000000</v>
      </c>
      <c r="I22" s="1635"/>
      <c r="J22" s="1614"/>
      <c r="K22" s="1617"/>
      <c r="L22" s="1556"/>
    </row>
    <row r="23" spans="1:12" s="1532" customFormat="1" ht="12.5" x14ac:dyDescent="0.25">
      <c r="A23" s="1289" t="s">
        <v>320</v>
      </c>
      <c r="B23" s="182">
        <v>2</v>
      </c>
      <c r="C23" s="1614"/>
      <c r="D23" s="1614"/>
      <c r="E23" s="1634"/>
      <c r="F23" s="1635"/>
      <c r="G23" s="1614"/>
      <c r="H23" s="1636"/>
      <c r="I23" s="1635"/>
      <c r="J23" s="1614"/>
      <c r="K23" s="1617"/>
      <c r="L23" s="1557"/>
    </row>
    <row r="24" spans="1:12" s="1532" customFormat="1" ht="12.5" x14ac:dyDescent="0.25">
      <c r="A24" s="1289" t="s">
        <v>138</v>
      </c>
      <c r="B24" s="182"/>
      <c r="C24" s="1614"/>
      <c r="D24" s="1614"/>
      <c r="E24" s="1634"/>
      <c r="F24" s="1635"/>
      <c r="G24" s="1614"/>
      <c r="H24" s="1636"/>
      <c r="I24" s="1635"/>
      <c r="J24" s="1614"/>
      <c r="K24" s="1634"/>
      <c r="L24" s="1557"/>
    </row>
    <row r="25" spans="1:12" s="1532" customFormat="1" ht="12.5" x14ac:dyDescent="0.25">
      <c r="A25" s="1289" t="s">
        <v>292</v>
      </c>
      <c r="B25" s="182">
        <v>3</v>
      </c>
      <c r="C25" s="1614">
        <v>2445963</v>
      </c>
      <c r="D25" s="1614"/>
      <c r="E25" s="1634"/>
      <c r="F25" s="1635"/>
      <c r="G25" s="1614"/>
      <c r="H25" s="1636"/>
      <c r="I25" s="1635"/>
      <c r="J25" s="1614"/>
      <c r="K25" s="1634"/>
      <c r="L25" s="1557"/>
    </row>
    <row r="26" spans="1:12" ht="5.15" customHeight="1" x14ac:dyDescent="0.25">
      <c r="A26" s="273"/>
      <c r="B26" s="182"/>
      <c r="C26" s="203"/>
      <c r="D26" s="203"/>
      <c r="E26" s="204"/>
      <c r="F26" s="205"/>
      <c r="G26" s="203"/>
      <c r="H26" s="202"/>
      <c r="I26" s="205"/>
      <c r="J26" s="203"/>
      <c r="K26" s="204"/>
      <c r="L26" s="370"/>
    </row>
    <row r="27" spans="1:12" ht="17.25" customHeight="1" x14ac:dyDescent="0.25">
      <c r="A27" s="249" t="s">
        <v>1559</v>
      </c>
      <c r="B27" s="182"/>
      <c r="C27" s="218">
        <f>SUM(C28:C41)</f>
        <v>33174849</v>
      </c>
      <c r="D27" s="218">
        <f t="shared" ref="D27:K27" si="6">SUM(D28:D41)</f>
        <v>80000</v>
      </c>
      <c r="E27" s="219">
        <f t="shared" si="6"/>
        <v>0</v>
      </c>
      <c r="F27" s="220">
        <f t="shared" si="6"/>
        <v>20600000</v>
      </c>
      <c r="G27" s="218">
        <f t="shared" si="6"/>
        <v>36069137</v>
      </c>
      <c r="H27" s="217">
        <f t="shared" si="6"/>
        <v>36069137</v>
      </c>
      <c r="I27" s="220">
        <f t="shared" si="6"/>
        <v>0</v>
      </c>
      <c r="J27" s="218">
        <f t="shared" si="6"/>
        <v>0</v>
      </c>
      <c r="K27" s="219">
        <f t="shared" si="6"/>
        <v>0</v>
      </c>
      <c r="L27" s="370"/>
    </row>
    <row r="28" spans="1:12" ht="11.25" customHeight="1" x14ac:dyDescent="0.25">
      <c r="A28" s="250" t="s">
        <v>2</v>
      </c>
      <c r="B28" s="182"/>
      <c r="C28" s="1619"/>
      <c r="D28" s="1619"/>
      <c r="E28" s="1888"/>
      <c r="F28" s="1957"/>
      <c r="G28" s="1053"/>
      <c r="H28" s="1053"/>
      <c r="I28" s="1957"/>
      <c r="J28" s="1619"/>
      <c r="K28" s="1888"/>
      <c r="L28" s="1557"/>
    </row>
    <row r="29" spans="1:12" ht="11.25" customHeight="1" x14ac:dyDescent="0.25">
      <c r="A29" s="250" t="s">
        <v>1579</v>
      </c>
      <c r="B29" s="182"/>
      <c r="C29" s="1614">
        <v>942636</v>
      </c>
      <c r="D29" s="1614"/>
      <c r="E29" s="1634"/>
      <c r="F29" s="1635"/>
      <c r="G29" s="1053"/>
      <c r="H29" s="1053"/>
      <c r="I29" s="1635"/>
      <c r="J29" s="1614"/>
      <c r="K29" s="1634"/>
      <c r="L29" s="1557"/>
    </row>
    <row r="30" spans="1:12" ht="11.25" customHeight="1" x14ac:dyDescent="0.25">
      <c r="A30" s="250" t="s">
        <v>503</v>
      </c>
      <c r="B30" s="182"/>
      <c r="C30" s="1614"/>
      <c r="D30" s="1614"/>
      <c r="E30" s="1634"/>
      <c r="F30" s="1635"/>
      <c r="G30" s="1053"/>
      <c r="H30" s="1053"/>
      <c r="I30" s="1635"/>
      <c r="J30" s="1614"/>
      <c r="K30" s="1634"/>
      <c r="L30" s="1557"/>
    </row>
    <row r="31" spans="1:12" ht="11.25" customHeight="1" x14ac:dyDescent="0.25">
      <c r="A31" s="250" t="s">
        <v>1</v>
      </c>
      <c r="B31" s="182"/>
      <c r="C31" s="1614">
        <v>4395284</v>
      </c>
      <c r="D31" s="1614"/>
      <c r="E31" s="1634"/>
      <c r="F31" s="1635">
        <v>2950000</v>
      </c>
      <c r="G31" s="1053">
        <f>F31</f>
        <v>2950000</v>
      </c>
      <c r="H31" s="1053">
        <f>G31</f>
        <v>2950000</v>
      </c>
      <c r="I31" s="1635"/>
      <c r="J31" s="1614"/>
      <c r="K31" s="1634"/>
      <c r="L31" s="1557"/>
    </row>
    <row r="32" spans="1:12" ht="11.25" customHeight="1" x14ac:dyDescent="0.25">
      <c r="A32" s="250" t="s">
        <v>339</v>
      </c>
      <c r="B32" s="182"/>
      <c r="C32" s="1614">
        <v>974850</v>
      </c>
      <c r="D32" s="1614"/>
      <c r="E32" s="1634"/>
      <c r="F32" s="1635">
        <v>0</v>
      </c>
      <c r="G32" s="1053">
        <v>219869</v>
      </c>
      <c r="H32" s="1053">
        <v>219869</v>
      </c>
      <c r="I32" s="1635"/>
      <c r="J32" s="1614"/>
      <c r="K32" s="1634"/>
      <c r="L32" s="1557"/>
    </row>
    <row r="33" spans="1:15" ht="11.25" customHeight="1" x14ac:dyDescent="0.25">
      <c r="A33" s="250" t="s">
        <v>0</v>
      </c>
      <c r="B33" s="182"/>
      <c r="C33" s="1614"/>
      <c r="D33" s="1614"/>
      <c r="E33" s="1634"/>
      <c r="F33" s="1635">
        <v>0</v>
      </c>
      <c r="G33" s="1053">
        <v>2000000</v>
      </c>
      <c r="H33" s="1053">
        <v>2000000</v>
      </c>
      <c r="I33" s="1635"/>
      <c r="J33" s="1614"/>
      <c r="K33" s="1634"/>
      <c r="L33" s="1557"/>
    </row>
    <row r="34" spans="1:15" ht="11.25" customHeight="1" x14ac:dyDescent="0.25">
      <c r="A34" s="250" t="s">
        <v>1580</v>
      </c>
      <c r="B34" s="182"/>
      <c r="C34" s="1614">
        <v>17891960</v>
      </c>
      <c r="D34" s="1614"/>
      <c r="E34" s="1634"/>
      <c r="F34" s="1635">
        <v>0</v>
      </c>
      <c r="G34" s="1053">
        <v>1212000</v>
      </c>
      <c r="H34" s="1053">
        <v>1212000</v>
      </c>
      <c r="I34" s="1635"/>
      <c r="J34" s="1614"/>
      <c r="K34" s="1634"/>
      <c r="L34" s="1557"/>
    </row>
    <row r="35" spans="1:15" ht="11.25" customHeight="1" x14ac:dyDescent="0.25">
      <c r="A35" s="250" t="s">
        <v>959</v>
      </c>
      <c r="B35" s="182"/>
      <c r="C35" s="1614">
        <v>211340</v>
      </c>
      <c r="D35" s="1614"/>
      <c r="E35" s="1634"/>
      <c r="F35" s="1635"/>
      <c r="G35" s="1053"/>
      <c r="H35" s="1053"/>
      <c r="I35" s="1635"/>
      <c r="J35" s="1614"/>
      <c r="K35" s="1634"/>
      <c r="L35" s="1557"/>
    </row>
    <row r="36" spans="1:15" ht="11.25" customHeight="1" x14ac:dyDescent="0.25">
      <c r="A36" s="250" t="s">
        <v>1515</v>
      </c>
      <c r="B36" s="182">
        <v>7</v>
      </c>
      <c r="C36" s="1614"/>
      <c r="D36" s="1614"/>
      <c r="E36" s="1634"/>
      <c r="F36" s="1635"/>
      <c r="G36" s="1053"/>
      <c r="H36" s="1053"/>
      <c r="I36" s="1635"/>
      <c r="J36" s="1614"/>
      <c r="K36" s="1634"/>
      <c r="L36" s="1557"/>
    </row>
    <row r="37" spans="1:15" ht="11.25" customHeight="1" x14ac:dyDescent="0.25">
      <c r="A37" s="250" t="s">
        <v>1281</v>
      </c>
      <c r="B37" s="182"/>
      <c r="C37" s="1614">
        <v>794494</v>
      </c>
      <c r="D37" s="1614"/>
      <c r="E37" s="1634"/>
      <c r="F37" s="1635"/>
      <c r="G37" s="1053"/>
      <c r="H37" s="1053"/>
      <c r="I37" s="1635"/>
      <c r="J37" s="1614"/>
      <c r="K37" s="1634"/>
      <c r="L37" s="1557"/>
      <c r="O37" s="370"/>
    </row>
    <row r="38" spans="1:15" ht="11.25" customHeight="1" x14ac:dyDescent="0.25">
      <c r="A38" s="250" t="s">
        <v>722</v>
      </c>
      <c r="B38" s="182"/>
      <c r="C38" s="1614">
        <v>595583</v>
      </c>
      <c r="D38" s="1614">
        <v>80000</v>
      </c>
      <c r="E38" s="1634"/>
      <c r="F38" s="1635"/>
      <c r="G38" s="1053"/>
      <c r="H38" s="1053"/>
      <c r="I38" s="1635"/>
      <c r="J38" s="1614"/>
      <c r="K38" s="1634"/>
      <c r="L38" s="1557"/>
    </row>
    <row r="39" spans="1:15" ht="11.25" customHeight="1" x14ac:dyDescent="0.25">
      <c r="A39" s="250" t="s">
        <v>501</v>
      </c>
      <c r="B39" s="182"/>
      <c r="C39" s="1614">
        <v>2519522</v>
      </c>
      <c r="D39" s="1614"/>
      <c r="E39" s="1634"/>
      <c r="F39" s="1635">
        <v>13500000</v>
      </c>
      <c r="G39" s="1053">
        <f>70000+F39</f>
        <v>13570000</v>
      </c>
      <c r="H39" s="1053">
        <f>G39</f>
        <v>13570000</v>
      </c>
      <c r="I39" s="1635"/>
      <c r="J39" s="1614"/>
      <c r="K39" s="1634"/>
      <c r="L39" s="1557"/>
    </row>
    <row r="40" spans="1:15" ht="11.25" customHeight="1" x14ac:dyDescent="0.25">
      <c r="A40" s="250" t="s">
        <v>31</v>
      </c>
      <c r="B40" s="182">
        <v>8</v>
      </c>
      <c r="C40" s="1614"/>
      <c r="D40" s="1614"/>
      <c r="E40" s="1634"/>
      <c r="F40" s="1635"/>
      <c r="G40" s="1053"/>
      <c r="H40" s="1053"/>
      <c r="I40" s="1635"/>
      <c r="J40" s="1614"/>
      <c r="K40" s="1634"/>
      <c r="L40" s="370"/>
    </row>
    <row r="41" spans="1:15" ht="11.25" customHeight="1" x14ac:dyDescent="0.25">
      <c r="A41" s="250" t="s">
        <v>292</v>
      </c>
      <c r="B41" s="182"/>
      <c r="C41" s="1656">
        <v>4849180</v>
      </c>
      <c r="D41" s="1656"/>
      <c r="E41" s="1657"/>
      <c r="F41" s="1658">
        <v>4150000</v>
      </c>
      <c r="G41" s="1053">
        <f>4980000+6987268+F41</f>
        <v>16117268</v>
      </c>
      <c r="H41" s="1053">
        <f>G41</f>
        <v>16117268</v>
      </c>
      <c r="I41" s="1658"/>
      <c r="J41" s="1656"/>
      <c r="K41" s="1657"/>
      <c r="L41" s="1557"/>
    </row>
    <row r="42" spans="1:15" ht="5.15" customHeight="1" x14ac:dyDescent="0.25">
      <c r="A42" s="273"/>
      <c r="B42" s="182"/>
      <c r="C42" s="203"/>
      <c r="D42" s="203"/>
      <c r="E42" s="204"/>
      <c r="F42" s="205"/>
      <c r="G42" s="203"/>
      <c r="H42" s="202"/>
      <c r="I42" s="205"/>
      <c r="J42" s="203"/>
      <c r="K42" s="204"/>
      <c r="L42" s="370"/>
    </row>
    <row r="43" spans="1:15" ht="17.25" customHeight="1" x14ac:dyDescent="0.25">
      <c r="A43" s="249" t="s">
        <v>962</v>
      </c>
      <c r="B43" s="182"/>
      <c r="C43" s="203">
        <f>SUM(C44:C45)</f>
        <v>5710667</v>
      </c>
      <c r="D43" s="203">
        <f t="shared" ref="D43:K43" si="7">SUM(D44:D45)</f>
        <v>0</v>
      </c>
      <c r="E43" s="204">
        <f t="shared" si="7"/>
        <v>0</v>
      </c>
      <c r="F43" s="205">
        <f t="shared" si="7"/>
        <v>0</v>
      </c>
      <c r="G43" s="203">
        <f t="shared" si="7"/>
        <v>0</v>
      </c>
      <c r="H43" s="202">
        <f t="shared" si="7"/>
        <v>0</v>
      </c>
      <c r="I43" s="205">
        <f t="shared" si="7"/>
        <v>0</v>
      </c>
      <c r="J43" s="203">
        <f t="shared" si="7"/>
        <v>0</v>
      </c>
      <c r="K43" s="204">
        <f t="shared" si="7"/>
        <v>0</v>
      </c>
      <c r="L43" s="370"/>
    </row>
    <row r="44" spans="1:15" ht="11.25" customHeight="1" x14ac:dyDescent="0.25">
      <c r="A44" s="250" t="s">
        <v>1253</v>
      </c>
      <c r="B44" s="182"/>
      <c r="C44" s="1623">
        <v>5710667</v>
      </c>
      <c r="D44" s="1623"/>
      <c r="E44" s="1978"/>
      <c r="F44" s="1979"/>
      <c r="G44" s="1623"/>
      <c r="H44" s="1980"/>
      <c r="I44" s="1979"/>
      <c r="J44" s="1623"/>
      <c r="K44" s="1978"/>
      <c r="L44" s="370"/>
    </row>
    <row r="45" spans="1:15" ht="11.25" customHeight="1" x14ac:dyDescent="0.25">
      <c r="A45" s="254" t="s">
        <v>292</v>
      </c>
      <c r="B45" s="182">
        <v>9</v>
      </c>
      <c r="C45" s="1651"/>
      <c r="D45" s="1651"/>
      <c r="E45" s="1981"/>
      <c r="F45" s="1982"/>
      <c r="G45" s="1651"/>
      <c r="H45" s="1983"/>
      <c r="I45" s="1982"/>
      <c r="J45" s="1651"/>
      <c r="K45" s="1981"/>
      <c r="L45" s="370"/>
    </row>
    <row r="46" spans="1:15" ht="5.15" customHeight="1" x14ac:dyDescent="0.25">
      <c r="A46" s="273"/>
      <c r="B46" s="182"/>
      <c r="C46" s="203"/>
      <c r="D46" s="203"/>
      <c r="E46" s="204"/>
      <c r="F46" s="205"/>
      <c r="G46" s="203"/>
      <c r="H46" s="202"/>
      <c r="I46" s="205"/>
      <c r="J46" s="203"/>
      <c r="K46" s="204"/>
      <c r="L46" s="370"/>
    </row>
    <row r="47" spans="1:15" ht="17.25" customHeight="1" x14ac:dyDescent="0.25">
      <c r="A47" s="249" t="s">
        <v>963</v>
      </c>
      <c r="B47" s="182"/>
      <c r="C47" s="218">
        <f>SUM(C48:C49)</f>
        <v>0</v>
      </c>
      <c r="D47" s="218">
        <f t="shared" ref="D47:K47" si="8">SUM(D48:D49)</f>
        <v>0</v>
      </c>
      <c r="E47" s="219">
        <f t="shared" si="8"/>
        <v>0</v>
      </c>
      <c r="F47" s="220">
        <f t="shared" si="8"/>
        <v>0</v>
      </c>
      <c r="G47" s="218">
        <f t="shared" si="8"/>
        <v>0</v>
      </c>
      <c r="H47" s="217">
        <f t="shared" si="8"/>
        <v>0</v>
      </c>
      <c r="I47" s="220">
        <f t="shared" si="8"/>
        <v>0</v>
      </c>
      <c r="J47" s="218">
        <f t="shared" si="8"/>
        <v>0</v>
      </c>
      <c r="K47" s="219">
        <f t="shared" si="8"/>
        <v>0</v>
      </c>
      <c r="L47" s="370"/>
    </row>
    <row r="48" spans="1:15" ht="11.25" customHeight="1" x14ac:dyDescent="0.25">
      <c r="A48" s="250" t="s">
        <v>502</v>
      </c>
      <c r="B48" s="182"/>
      <c r="C48" s="1619"/>
      <c r="D48" s="1619"/>
      <c r="E48" s="1888"/>
      <c r="F48" s="1957"/>
      <c r="G48" s="1619"/>
      <c r="H48" s="1977"/>
      <c r="I48" s="1957"/>
      <c r="J48" s="1619"/>
      <c r="K48" s="1888"/>
      <c r="L48" s="1557"/>
    </row>
    <row r="49" spans="1:12" ht="11.25" customHeight="1" x14ac:dyDescent="0.25">
      <c r="A49" s="250" t="s">
        <v>292</v>
      </c>
      <c r="B49" s="182"/>
      <c r="C49" s="1656"/>
      <c r="D49" s="1656"/>
      <c r="E49" s="1657"/>
      <c r="F49" s="1658"/>
      <c r="G49" s="1656"/>
      <c r="H49" s="1659"/>
      <c r="I49" s="1658"/>
      <c r="J49" s="1656"/>
      <c r="K49" s="1657"/>
      <c r="L49" s="370"/>
    </row>
    <row r="50" spans="1:12" ht="5.15" customHeight="1" x14ac:dyDescent="0.25">
      <c r="A50" s="273"/>
      <c r="B50" s="182"/>
      <c r="C50" s="203"/>
      <c r="D50" s="203"/>
      <c r="E50" s="204"/>
      <c r="F50" s="205"/>
      <c r="G50" s="203"/>
      <c r="H50" s="202"/>
      <c r="I50" s="205"/>
      <c r="J50" s="203"/>
      <c r="K50" s="204"/>
      <c r="L50" s="370"/>
    </row>
    <row r="51" spans="1:12" ht="17.25" customHeight="1" x14ac:dyDescent="0.25">
      <c r="A51" s="249" t="s">
        <v>964</v>
      </c>
      <c r="B51" s="182"/>
      <c r="C51" s="218">
        <f>SUM(C52:C63)</f>
        <v>10653670</v>
      </c>
      <c r="D51" s="218">
        <f t="shared" ref="D51:K51" si="9">SUM(D52:D63)</f>
        <v>4070472.63</v>
      </c>
      <c r="E51" s="219">
        <f t="shared" si="9"/>
        <v>0</v>
      </c>
      <c r="F51" s="220">
        <f t="shared" si="9"/>
        <v>0</v>
      </c>
      <c r="G51" s="218">
        <f t="shared" si="9"/>
        <v>4068760</v>
      </c>
      <c r="H51" s="217">
        <f t="shared" si="9"/>
        <v>4068760</v>
      </c>
      <c r="I51" s="220">
        <f t="shared" si="9"/>
        <v>30270000</v>
      </c>
      <c r="J51" s="218">
        <f t="shared" si="9"/>
        <v>22700000</v>
      </c>
      <c r="K51" s="219">
        <f t="shared" si="9"/>
        <v>23790000</v>
      </c>
      <c r="L51" s="370"/>
    </row>
    <row r="52" spans="1:12" ht="11.25" customHeight="1" x14ac:dyDescent="0.25">
      <c r="A52" s="254" t="s">
        <v>630</v>
      </c>
      <c r="B52" s="182"/>
      <c r="C52" s="1619"/>
      <c r="D52" s="1619"/>
      <c r="E52" s="1888"/>
      <c r="F52" s="1957">
        <v>0</v>
      </c>
      <c r="G52" s="1053">
        <v>3368760</v>
      </c>
      <c r="H52" s="1053">
        <v>3368760</v>
      </c>
      <c r="I52" s="1957">
        <v>13710000</v>
      </c>
      <c r="J52" s="1619">
        <v>10000000</v>
      </c>
      <c r="K52" s="1888">
        <v>10040000</v>
      </c>
      <c r="L52" s="1557"/>
    </row>
    <row r="53" spans="1:12" ht="11.25" customHeight="1" x14ac:dyDescent="0.25">
      <c r="A53" s="254" t="s">
        <v>32</v>
      </c>
      <c r="B53" s="182">
        <v>10</v>
      </c>
      <c r="C53" s="1063">
        <f>C79</f>
        <v>0</v>
      </c>
      <c r="D53" s="1063">
        <f t="shared" ref="D53:K53" si="10">D79</f>
        <v>0</v>
      </c>
      <c r="E53" s="1064">
        <f t="shared" si="10"/>
        <v>0</v>
      </c>
      <c r="F53" s="1065">
        <f t="shared" si="10"/>
        <v>0</v>
      </c>
      <c r="G53" s="1063">
        <f t="shared" si="10"/>
        <v>0</v>
      </c>
      <c r="H53" s="1066">
        <f t="shared" si="10"/>
        <v>0</v>
      </c>
      <c r="I53" s="1065">
        <f t="shared" si="10"/>
        <v>0</v>
      </c>
      <c r="J53" s="1063">
        <f t="shared" si="10"/>
        <v>0</v>
      </c>
      <c r="K53" s="1064">
        <f t="shared" si="10"/>
        <v>0</v>
      </c>
      <c r="L53" s="370"/>
    </row>
    <row r="54" spans="1:12" ht="11.25" customHeight="1" x14ac:dyDescent="0.25">
      <c r="A54" s="254" t="s">
        <v>1241</v>
      </c>
      <c r="B54" s="182"/>
      <c r="C54" s="1614">
        <v>1872894</v>
      </c>
      <c r="D54" s="1614"/>
      <c r="E54" s="1634"/>
      <c r="F54" s="1635"/>
      <c r="G54" s="1053"/>
      <c r="H54" s="1053"/>
      <c r="I54" s="1635">
        <f>300000+250000</f>
        <v>550000</v>
      </c>
      <c r="J54" s="1614">
        <f>400000+300000</f>
        <v>700000</v>
      </c>
      <c r="K54" s="1634">
        <f>400000+350000</f>
        <v>750000</v>
      </c>
      <c r="L54" s="1557"/>
    </row>
    <row r="55" spans="1:12" ht="11.25" customHeight="1" x14ac:dyDescent="0.25">
      <c r="A55" s="254" t="s">
        <v>631</v>
      </c>
      <c r="B55" s="182"/>
      <c r="C55" s="1614">
        <v>5115821</v>
      </c>
      <c r="D55" s="1614">
        <v>11270</v>
      </c>
      <c r="E55" s="1634"/>
      <c r="F55" s="1635">
        <v>0</v>
      </c>
      <c r="G55" s="1053">
        <v>645000</v>
      </c>
      <c r="H55" s="1053">
        <v>645000</v>
      </c>
      <c r="I55" s="1635">
        <v>11000000</v>
      </c>
      <c r="J55" s="1614">
        <v>12000000</v>
      </c>
      <c r="K55" s="1634">
        <v>13000000</v>
      </c>
      <c r="L55" s="1557"/>
    </row>
    <row r="56" spans="1:12" ht="11.25" customHeight="1" x14ac:dyDescent="0.25">
      <c r="A56" s="254" t="s">
        <v>632</v>
      </c>
      <c r="B56" s="182"/>
      <c r="C56" s="1614"/>
      <c r="D56" s="1614">
        <v>234506.63</v>
      </c>
      <c r="E56" s="1634"/>
      <c r="F56" s="1635">
        <v>0</v>
      </c>
      <c r="G56" s="1053">
        <v>55000</v>
      </c>
      <c r="H56" s="1053">
        <v>55000</v>
      </c>
      <c r="I56" s="1635"/>
      <c r="J56" s="1614"/>
      <c r="K56" s="1634"/>
      <c r="L56" s="1557"/>
    </row>
    <row r="57" spans="1:12" ht="11.25" customHeight="1" x14ac:dyDescent="0.25">
      <c r="A57" s="254" t="s">
        <v>1242</v>
      </c>
      <c r="B57" s="182"/>
      <c r="C57" s="1614"/>
      <c r="D57" s="1614"/>
      <c r="E57" s="1634"/>
      <c r="F57" s="1635"/>
      <c r="G57" s="1053"/>
      <c r="H57" s="1053"/>
      <c r="I57" s="1635"/>
      <c r="J57" s="1614"/>
      <c r="K57" s="1634"/>
      <c r="L57" s="1557"/>
    </row>
    <row r="58" spans="1:12" ht="11.25" customHeight="1" x14ac:dyDescent="0.25">
      <c r="A58" s="254" t="s">
        <v>1243</v>
      </c>
      <c r="B58" s="182"/>
      <c r="C58" s="1614">
        <v>1008158</v>
      </c>
      <c r="D58" s="1614"/>
      <c r="E58" s="1634"/>
      <c r="F58" s="1635"/>
      <c r="G58" s="1053"/>
      <c r="H58" s="1053"/>
      <c r="I58" s="1635"/>
      <c r="J58" s="1614"/>
      <c r="K58" s="1634"/>
      <c r="L58" s="1556"/>
    </row>
    <row r="59" spans="1:12" ht="11.25" customHeight="1" x14ac:dyDescent="0.25">
      <c r="A59" s="254" t="s">
        <v>1513</v>
      </c>
      <c r="B59" s="182"/>
      <c r="C59" s="1614">
        <v>2418297</v>
      </c>
      <c r="D59" s="1614">
        <v>3824696</v>
      </c>
      <c r="E59" s="1634"/>
      <c r="F59" s="1635"/>
      <c r="G59" s="1053"/>
      <c r="H59" s="1053"/>
      <c r="I59" s="1635">
        <v>2000000</v>
      </c>
      <c r="J59" s="1614"/>
      <c r="K59" s="1634"/>
      <c r="L59" s="1557"/>
    </row>
    <row r="60" spans="1:12" ht="11.25" customHeight="1" x14ac:dyDescent="0.25">
      <c r="A60" s="254" t="s">
        <v>322</v>
      </c>
      <c r="B60" s="182"/>
      <c r="C60" s="1614"/>
      <c r="D60" s="1614"/>
      <c r="E60" s="1634"/>
      <c r="F60" s="1635"/>
      <c r="G60" s="1053"/>
      <c r="H60" s="1053"/>
      <c r="I60" s="1635">
        <v>200000</v>
      </c>
      <c r="J60" s="1614"/>
      <c r="K60" s="1634"/>
      <c r="L60" s="1557"/>
    </row>
    <row r="61" spans="1:12" ht="11.25" customHeight="1" x14ac:dyDescent="0.25">
      <c r="A61" s="254" t="s">
        <v>321</v>
      </c>
      <c r="B61" s="182"/>
      <c r="C61" s="1614"/>
      <c r="D61" s="1614"/>
      <c r="E61" s="1634"/>
      <c r="F61" s="1635"/>
      <c r="G61" s="1053"/>
      <c r="H61" s="1053"/>
      <c r="I61" s="1635"/>
      <c r="J61" s="1614"/>
      <c r="K61" s="1634"/>
      <c r="L61" s="1557"/>
    </row>
    <row r="62" spans="1:12" ht="11.25" customHeight="1" x14ac:dyDescent="0.25">
      <c r="A62" s="254" t="s">
        <v>633</v>
      </c>
      <c r="B62" s="182"/>
      <c r="C62" s="1614"/>
      <c r="D62" s="1614"/>
      <c r="E62" s="1634"/>
      <c r="F62" s="1635"/>
      <c r="G62" s="1053"/>
      <c r="H62" s="1053"/>
      <c r="I62" s="1635"/>
      <c r="J62" s="1614"/>
      <c r="K62" s="1634"/>
      <c r="L62" s="1557"/>
    </row>
    <row r="63" spans="1:12" ht="11.25" customHeight="1" x14ac:dyDescent="0.25">
      <c r="A63" s="250" t="s">
        <v>292</v>
      </c>
      <c r="B63" s="182"/>
      <c r="C63" s="1656">
        <v>238500</v>
      </c>
      <c r="D63" s="1656"/>
      <c r="E63" s="1657"/>
      <c r="F63" s="1658"/>
      <c r="G63" s="1053"/>
      <c r="H63" s="1053"/>
      <c r="I63" s="1658">
        <v>2810000</v>
      </c>
      <c r="J63" s="1656"/>
      <c r="K63" s="1657"/>
      <c r="L63" s="1557"/>
    </row>
    <row r="64" spans="1:12" ht="5.15" customHeight="1" x14ac:dyDescent="0.25">
      <c r="A64" s="844"/>
      <c r="B64" s="182"/>
      <c r="C64" s="203"/>
      <c r="D64" s="203"/>
      <c r="E64" s="204"/>
      <c r="F64" s="205"/>
      <c r="G64" s="203"/>
      <c r="H64" s="202"/>
      <c r="I64" s="205"/>
      <c r="J64" s="203"/>
      <c r="K64" s="204"/>
      <c r="L64" s="370"/>
    </row>
    <row r="65" spans="1:12" ht="13.5" customHeight="1" x14ac:dyDescent="0.25">
      <c r="A65" s="249" t="s">
        <v>1528</v>
      </c>
      <c r="B65" s="182"/>
      <c r="C65" s="203">
        <f>SUM(C66:C67)</f>
        <v>0</v>
      </c>
      <c r="D65" s="203">
        <f t="shared" ref="D65:K65" si="11">SUM(D66:D67)</f>
        <v>0</v>
      </c>
      <c r="E65" s="204">
        <f t="shared" si="11"/>
        <v>0</v>
      </c>
      <c r="F65" s="205">
        <f t="shared" si="11"/>
        <v>0</v>
      </c>
      <c r="G65" s="203">
        <f t="shared" si="11"/>
        <v>0</v>
      </c>
      <c r="H65" s="202">
        <f t="shared" si="11"/>
        <v>0</v>
      </c>
      <c r="I65" s="205">
        <f t="shared" si="11"/>
        <v>0</v>
      </c>
      <c r="J65" s="203">
        <f t="shared" si="11"/>
        <v>0</v>
      </c>
      <c r="K65" s="204">
        <f t="shared" si="11"/>
        <v>0</v>
      </c>
      <c r="L65" s="370"/>
    </row>
    <row r="66" spans="1:12" ht="11.25" customHeight="1" x14ac:dyDescent="0.25">
      <c r="A66" s="1938" t="s">
        <v>1254</v>
      </c>
      <c r="B66" s="182"/>
      <c r="C66" s="1619"/>
      <c r="D66" s="1619"/>
      <c r="E66" s="1888"/>
      <c r="F66" s="1957"/>
      <c r="G66" s="1619"/>
      <c r="H66" s="1977"/>
      <c r="I66" s="1957"/>
      <c r="J66" s="1619"/>
      <c r="K66" s="1888"/>
      <c r="L66" s="370"/>
    </row>
    <row r="67" spans="1:12" ht="11.25" customHeight="1" x14ac:dyDescent="0.25">
      <c r="A67" s="1938"/>
      <c r="B67" s="182"/>
      <c r="C67" s="1656"/>
      <c r="D67" s="1656"/>
      <c r="E67" s="1657"/>
      <c r="F67" s="1658"/>
      <c r="G67" s="1656"/>
      <c r="H67" s="1659"/>
      <c r="I67" s="1658"/>
      <c r="J67" s="1656"/>
      <c r="K67" s="1657"/>
      <c r="L67" s="370"/>
    </row>
    <row r="68" spans="1:12" ht="5.15" customHeight="1" x14ac:dyDescent="0.25">
      <c r="A68" s="844"/>
      <c r="B68" s="182"/>
      <c r="C68" s="203"/>
      <c r="D68" s="203"/>
      <c r="E68" s="204"/>
      <c r="F68" s="205"/>
      <c r="G68" s="203"/>
      <c r="H68" s="202"/>
      <c r="I68" s="205"/>
      <c r="J68" s="203"/>
      <c r="K68" s="204"/>
      <c r="L68" s="370"/>
    </row>
    <row r="69" spans="1:12" ht="13.5" customHeight="1" x14ac:dyDescent="0.25">
      <c r="A69" s="249" t="s">
        <v>136</v>
      </c>
      <c r="B69" s="182"/>
      <c r="C69" s="203">
        <f>SUM(C70:C71)</f>
        <v>0</v>
      </c>
      <c r="D69" s="203">
        <f t="shared" ref="D69:K69" si="12">SUM(D70:D71)</f>
        <v>0</v>
      </c>
      <c r="E69" s="204">
        <f t="shared" si="12"/>
        <v>0</v>
      </c>
      <c r="F69" s="205">
        <f t="shared" si="12"/>
        <v>0</v>
      </c>
      <c r="G69" s="203">
        <f t="shared" si="12"/>
        <v>0</v>
      </c>
      <c r="H69" s="202">
        <f t="shared" si="12"/>
        <v>0</v>
      </c>
      <c r="I69" s="205">
        <f t="shared" si="12"/>
        <v>0</v>
      </c>
      <c r="J69" s="203">
        <f t="shared" si="12"/>
        <v>0</v>
      </c>
      <c r="K69" s="204">
        <f t="shared" si="12"/>
        <v>0</v>
      </c>
      <c r="L69" s="370"/>
    </row>
    <row r="70" spans="1:12" ht="11.25" customHeight="1" x14ac:dyDescent="0.25">
      <c r="A70" s="1938" t="s">
        <v>1254</v>
      </c>
      <c r="B70" s="182"/>
      <c r="C70" s="1619"/>
      <c r="D70" s="1619"/>
      <c r="E70" s="1888"/>
      <c r="F70" s="1957"/>
      <c r="G70" s="1619"/>
      <c r="H70" s="1977"/>
      <c r="I70" s="1957"/>
      <c r="J70" s="1619"/>
      <c r="K70" s="1888"/>
      <c r="L70" s="370"/>
    </row>
    <row r="71" spans="1:12" ht="11.25" customHeight="1" x14ac:dyDescent="0.25">
      <c r="A71" s="1938"/>
      <c r="B71" s="182"/>
      <c r="C71" s="1656"/>
      <c r="D71" s="1656"/>
      <c r="E71" s="1657"/>
      <c r="F71" s="1658"/>
      <c r="G71" s="1656"/>
      <c r="H71" s="1659"/>
      <c r="I71" s="1658"/>
      <c r="J71" s="1656"/>
      <c r="K71" s="1657"/>
      <c r="L71" s="370"/>
    </row>
    <row r="72" spans="1:12" ht="5.15" customHeight="1" x14ac:dyDescent="0.25">
      <c r="A72" s="273"/>
      <c r="B72" s="182"/>
      <c r="C72" s="203"/>
      <c r="D72" s="203"/>
      <c r="E72" s="204"/>
      <c r="F72" s="205"/>
      <c r="G72" s="203"/>
      <c r="H72" s="202"/>
      <c r="I72" s="205"/>
      <c r="J72" s="203"/>
      <c r="K72" s="204"/>
      <c r="L72" s="370"/>
    </row>
    <row r="73" spans="1:12" ht="17.25" customHeight="1" x14ac:dyDescent="0.25">
      <c r="A73" s="249" t="s">
        <v>882</v>
      </c>
      <c r="B73" s="182"/>
      <c r="C73" s="203">
        <f>SUM(C74:C75)</f>
        <v>0</v>
      </c>
      <c r="D73" s="203">
        <f t="shared" ref="D73:K73" si="13">SUM(D74:D75)</f>
        <v>0</v>
      </c>
      <c r="E73" s="204">
        <f t="shared" si="13"/>
        <v>0</v>
      </c>
      <c r="F73" s="205">
        <f t="shared" si="13"/>
        <v>0</v>
      </c>
      <c r="G73" s="203">
        <f t="shared" si="13"/>
        <v>0</v>
      </c>
      <c r="H73" s="202">
        <f t="shared" si="13"/>
        <v>0</v>
      </c>
      <c r="I73" s="205">
        <f t="shared" si="13"/>
        <v>0</v>
      </c>
      <c r="J73" s="203">
        <f t="shared" si="13"/>
        <v>0</v>
      </c>
      <c r="K73" s="204">
        <f t="shared" si="13"/>
        <v>0</v>
      </c>
      <c r="L73" s="370"/>
    </row>
    <row r="74" spans="1:12" ht="11.25" customHeight="1" x14ac:dyDescent="0.25">
      <c r="A74" s="254" t="s">
        <v>970</v>
      </c>
      <c r="B74" s="182"/>
      <c r="C74" s="1619"/>
      <c r="D74" s="1619"/>
      <c r="E74" s="1888"/>
      <c r="F74" s="1957"/>
      <c r="G74" s="1619"/>
      <c r="H74" s="1977"/>
      <c r="I74" s="1957"/>
      <c r="J74" s="1619"/>
      <c r="K74" s="1888"/>
      <c r="L74" s="370"/>
    </row>
    <row r="75" spans="1:12" ht="11.25" customHeight="1" x14ac:dyDescent="0.25">
      <c r="A75" s="1913" t="s">
        <v>614</v>
      </c>
      <c r="B75" s="182"/>
      <c r="C75" s="1656"/>
      <c r="D75" s="1656"/>
      <c r="E75" s="1657"/>
      <c r="F75" s="1658"/>
      <c r="G75" s="1656"/>
      <c r="H75" s="1659"/>
      <c r="I75" s="1658"/>
      <c r="J75" s="1656"/>
      <c r="K75" s="1657"/>
      <c r="L75" s="370"/>
    </row>
    <row r="76" spans="1:12" ht="5.15" customHeight="1" x14ac:dyDescent="0.25">
      <c r="A76" s="273"/>
      <c r="B76" s="182"/>
      <c r="C76" s="218"/>
      <c r="D76" s="218"/>
      <c r="E76" s="219"/>
      <c r="F76" s="220"/>
      <c r="G76" s="218"/>
      <c r="H76" s="217"/>
      <c r="I76" s="220"/>
      <c r="J76" s="218"/>
      <c r="K76" s="219"/>
      <c r="L76" s="370"/>
    </row>
    <row r="77" spans="1:12" x14ac:dyDescent="0.25">
      <c r="A77" s="281" t="s">
        <v>1230</v>
      </c>
      <c r="B77" s="225">
        <v>1</v>
      </c>
      <c r="C77" s="230">
        <f t="shared" ref="C77:K77" si="14">C6+C27+C43+C47+C51+C73+C65+C69</f>
        <v>176033120</v>
      </c>
      <c r="D77" s="230">
        <f t="shared" si="14"/>
        <v>22326898.370000001</v>
      </c>
      <c r="E77" s="228">
        <f t="shared" si="14"/>
        <v>0</v>
      </c>
      <c r="F77" s="229">
        <f t="shared" si="14"/>
        <v>110102410</v>
      </c>
      <c r="G77" s="230">
        <f t="shared" si="14"/>
        <v>135653076</v>
      </c>
      <c r="H77" s="231">
        <f t="shared" si="14"/>
        <v>135653076</v>
      </c>
      <c r="I77" s="229">
        <f t="shared" si="14"/>
        <v>188050000</v>
      </c>
      <c r="J77" s="230">
        <f t="shared" si="14"/>
        <v>66342000</v>
      </c>
      <c r="K77" s="228">
        <f t="shared" si="14"/>
        <v>51990000</v>
      </c>
      <c r="L77" s="370"/>
    </row>
    <row r="78" spans="1:12" x14ac:dyDescent="0.25">
      <c r="A78" s="1559"/>
      <c r="B78" s="652"/>
      <c r="C78" s="217"/>
      <c r="D78" s="217"/>
      <c r="E78" s="217"/>
      <c r="F78" s="217"/>
      <c r="G78" s="217"/>
      <c r="H78" s="217"/>
      <c r="I78" s="217"/>
      <c r="J78" s="217"/>
      <c r="K78" s="217"/>
      <c r="L78" s="370"/>
    </row>
    <row r="79" spans="1:12" x14ac:dyDescent="0.25">
      <c r="A79" s="1560" t="s">
        <v>32</v>
      </c>
      <c r="B79" s="1561"/>
      <c r="C79" s="1301">
        <f t="shared" ref="C79:K79" si="15">SUM(C80:C83)</f>
        <v>0</v>
      </c>
      <c r="D79" s="1297">
        <f t="shared" si="15"/>
        <v>0</v>
      </c>
      <c r="E79" s="1562">
        <f t="shared" si="15"/>
        <v>0</v>
      </c>
      <c r="F79" s="1301">
        <f t="shared" si="15"/>
        <v>0</v>
      </c>
      <c r="G79" s="1297">
        <f t="shared" si="15"/>
        <v>0</v>
      </c>
      <c r="H79" s="1562">
        <f t="shared" si="15"/>
        <v>0</v>
      </c>
      <c r="I79" s="1301">
        <f t="shared" si="15"/>
        <v>0</v>
      </c>
      <c r="J79" s="1297">
        <f t="shared" si="15"/>
        <v>0</v>
      </c>
      <c r="K79" s="1562">
        <f t="shared" si="15"/>
        <v>0</v>
      </c>
      <c r="L79" s="370"/>
    </row>
    <row r="80" spans="1:12" x14ac:dyDescent="0.25">
      <c r="A80" s="190" t="s">
        <v>1287</v>
      </c>
      <c r="B80" s="1563"/>
      <c r="C80" s="1616"/>
      <c r="D80" s="1614"/>
      <c r="E80" s="1617"/>
      <c r="F80" s="1616"/>
      <c r="G80" s="1614"/>
      <c r="H80" s="1617"/>
      <c r="I80" s="1616"/>
      <c r="J80" s="1614"/>
      <c r="K80" s="1617"/>
      <c r="L80" s="370"/>
    </row>
    <row r="81" spans="1:12" x14ac:dyDescent="0.25">
      <c r="A81" s="190" t="s">
        <v>1514</v>
      </c>
      <c r="B81" s="1563"/>
      <c r="C81" s="1616"/>
      <c r="D81" s="1614"/>
      <c r="E81" s="1617"/>
      <c r="F81" s="1616"/>
      <c r="G81" s="1614"/>
      <c r="H81" s="1617"/>
      <c r="I81" s="1616"/>
      <c r="J81" s="1614"/>
      <c r="K81" s="1617"/>
      <c r="L81" s="370"/>
    </row>
    <row r="82" spans="1:12" x14ac:dyDescent="0.25">
      <c r="A82" s="190" t="s">
        <v>1712</v>
      </c>
      <c r="B82" s="1563"/>
      <c r="C82" s="1616"/>
      <c r="D82" s="1614"/>
      <c r="E82" s="1617"/>
      <c r="F82" s="1616"/>
      <c r="G82" s="1614"/>
      <c r="H82" s="1617"/>
      <c r="I82" s="1616"/>
      <c r="J82" s="1614"/>
      <c r="K82" s="1617"/>
      <c r="L82" s="370"/>
    </row>
    <row r="83" spans="1:12" x14ac:dyDescent="0.25">
      <c r="A83" s="1314" t="s">
        <v>1713</v>
      </c>
      <c r="B83" s="1564"/>
      <c r="C83" s="1695"/>
      <c r="D83" s="1691"/>
      <c r="E83" s="1984"/>
      <c r="F83" s="1695"/>
      <c r="G83" s="1691"/>
      <c r="H83" s="1984"/>
      <c r="I83" s="1695"/>
      <c r="J83" s="1691"/>
      <c r="K83" s="1984"/>
      <c r="L83" s="370"/>
    </row>
    <row r="84" spans="1:12" s="709" customFormat="1" x14ac:dyDescent="0.25">
      <c r="A84" s="1261" t="str">
        <f>head27a</f>
        <v>References</v>
      </c>
      <c r="B84" s="1038"/>
      <c r="C84" s="1042"/>
      <c r="D84" s="1042"/>
      <c r="E84" s="1042"/>
      <c r="F84" s="1042"/>
      <c r="G84" s="1042"/>
      <c r="H84" s="1042"/>
      <c r="I84" s="1042"/>
      <c r="J84" s="1042"/>
      <c r="K84" s="1042"/>
      <c r="L84" s="1558"/>
    </row>
    <row r="85" spans="1:12" s="709" customFormat="1" ht="11.25" customHeight="1" x14ac:dyDescent="0.25">
      <c r="A85" s="1262" t="s">
        <v>1231</v>
      </c>
      <c r="B85" s="1038"/>
      <c r="C85" s="1041"/>
      <c r="D85" s="1041"/>
      <c r="E85" s="1042"/>
      <c r="F85" s="1042"/>
      <c r="G85" s="1042"/>
      <c r="H85" s="1042"/>
      <c r="I85" s="1042"/>
      <c r="J85" s="1042"/>
      <c r="K85" s="1042"/>
    </row>
    <row r="86" spans="1:12" s="709" customFormat="1" ht="11.25" customHeight="1" x14ac:dyDescent="0.25">
      <c r="A86" s="1262" t="s">
        <v>319</v>
      </c>
      <c r="B86" s="1038"/>
      <c r="C86" s="1041"/>
      <c r="D86" s="1041"/>
      <c r="E86" s="1042"/>
      <c r="F86" s="1042"/>
      <c r="G86" s="1042"/>
      <c r="H86" s="1042"/>
      <c r="I86" s="1042"/>
      <c r="J86" s="1042"/>
      <c r="K86" s="1042"/>
    </row>
    <row r="87" spans="1:12" s="709" customFormat="1" ht="11.25" customHeight="1" x14ac:dyDescent="0.25">
      <c r="A87" s="1262" t="s">
        <v>912</v>
      </c>
      <c r="B87" s="1038"/>
      <c r="C87" s="1041"/>
      <c r="D87" s="1041"/>
      <c r="E87" s="1042"/>
      <c r="F87" s="1042"/>
      <c r="G87" s="1042"/>
      <c r="H87" s="1042"/>
      <c r="I87" s="1042"/>
      <c r="J87" s="1042"/>
      <c r="K87" s="1042"/>
    </row>
    <row r="88" spans="1:12" s="709" customFormat="1" ht="11.25" customHeight="1" x14ac:dyDescent="0.25">
      <c r="A88" s="1262" t="s">
        <v>323</v>
      </c>
      <c r="B88" s="1038"/>
      <c r="C88" s="1041"/>
      <c r="D88" s="1041"/>
      <c r="E88" s="1042"/>
      <c r="F88" s="1042"/>
      <c r="G88" s="1042"/>
      <c r="H88" s="1042"/>
      <c r="I88" s="1042"/>
      <c r="J88" s="1042"/>
      <c r="K88" s="1042"/>
    </row>
    <row r="89" spans="1:12" s="709" customFormat="1" ht="11.25" customHeight="1" x14ac:dyDescent="0.25">
      <c r="A89" s="1515" t="s">
        <v>133</v>
      </c>
      <c r="B89" s="1038"/>
      <c r="C89" s="1041"/>
      <c r="D89" s="1041"/>
      <c r="E89" s="1042"/>
      <c r="F89" s="1042"/>
      <c r="G89" s="1042"/>
      <c r="H89" s="1042"/>
      <c r="I89" s="1042"/>
      <c r="J89" s="1042"/>
      <c r="K89" s="1042"/>
    </row>
    <row r="90" spans="1:12" s="709" customFormat="1" ht="11.25" customHeight="1" x14ac:dyDescent="0.25">
      <c r="A90" s="1515" t="s">
        <v>1653</v>
      </c>
      <c r="B90" s="1038"/>
      <c r="C90" s="1041"/>
      <c r="D90" s="1041"/>
      <c r="E90" s="1042"/>
      <c r="F90" s="1042"/>
      <c r="G90" s="1042"/>
      <c r="H90" s="1042"/>
      <c r="I90" s="1042"/>
      <c r="J90" s="1042"/>
      <c r="K90" s="1042"/>
    </row>
    <row r="91" spans="1:12" s="709" customFormat="1" ht="11.25" customHeight="1" x14ac:dyDescent="0.25">
      <c r="A91" s="1515" t="s">
        <v>33</v>
      </c>
      <c r="B91" s="1038"/>
      <c r="C91" s="1041"/>
      <c r="D91" s="1041"/>
      <c r="E91" s="1042"/>
      <c r="F91" s="1042"/>
      <c r="G91" s="1042"/>
      <c r="H91" s="1042"/>
      <c r="I91" s="1042"/>
      <c r="J91" s="1042"/>
      <c r="K91" s="1042"/>
    </row>
    <row r="92" spans="1:12" s="709" customFormat="1" ht="11.25" customHeight="1" x14ac:dyDescent="0.25">
      <c r="A92" s="1515" t="s">
        <v>1332</v>
      </c>
      <c r="B92" s="1038"/>
      <c r="C92" s="1041"/>
      <c r="D92" s="1041"/>
      <c r="E92" s="1042"/>
      <c r="F92" s="1042"/>
      <c r="G92" s="1042"/>
      <c r="H92" s="1042"/>
      <c r="I92" s="1042"/>
      <c r="J92" s="1042"/>
      <c r="K92" s="1042"/>
    </row>
    <row r="93" spans="1:12" s="709" customFormat="1" ht="11.25" customHeight="1" x14ac:dyDescent="0.25">
      <c r="A93" s="1515" t="s">
        <v>1333</v>
      </c>
      <c r="B93" s="1038"/>
      <c r="C93" s="1041"/>
      <c r="D93" s="1041"/>
      <c r="E93" s="1042"/>
      <c r="F93" s="1042"/>
      <c r="G93" s="1042"/>
      <c r="H93" s="1042"/>
      <c r="I93" s="1042"/>
      <c r="J93" s="1042"/>
      <c r="K93" s="1042"/>
    </row>
    <row r="94" spans="1:12" s="709" customFormat="1" ht="11.25" customHeight="1" x14ac:dyDescent="0.25">
      <c r="A94" s="1515" t="s">
        <v>386</v>
      </c>
      <c r="B94" s="1038"/>
      <c r="C94" s="1041"/>
      <c r="D94" s="1041"/>
      <c r="E94" s="1042"/>
      <c r="F94" s="1042"/>
      <c r="G94" s="1042"/>
      <c r="H94" s="1042"/>
      <c r="I94" s="1042"/>
      <c r="J94" s="1042"/>
      <c r="K94" s="1042"/>
    </row>
    <row r="95" spans="1:12" s="709" customFormat="1" ht="11.25" customHeight="1" x14ac:dyDescent="0.25">
      <c r="A95" s="1059"/>
      <c r="B95" s="1038"/>
      <c r="C95" s="1041"/>
      <c r="D95" s="1041"/>
      <c r="E95" s="1042"/>
      <c r="F95" s="1042"/>
      <c r="G95" s="1042"/>
      <c r="H95" s="1042"/>
      <c r="I95" s="1042"/>
      <c r="J95" s="1042"/>
      <c r="K95" s="1042"/>
    </row>
    <row r="96" spans="1:12" ht="11.25" customHeight="1" x14ac:dyDescent="0.25">
      <c r="A96" s="246"/>
      <c r="B96" s="236"/>
      <c r="C96" s="240"/>
      <c r="D96" s="240"/>
      <c r="E96" s="241"/>
      <c r="F96" s="241"/>
      <c r="G96" s="241"/>
      <c r="H96" s="241"/>
      <c r="I96" s="241"/>
      <c r="J96" s="241"/>
      <c r="K96" s="241"/>
    </row>
    <row r="97" spans="1:11" ht="11.25" customHeight="1" x14ac:dyDescent="0.25">
      <c r="A97" s="288" t="s">
        <v>295</v>
      </c>
      <c r="B97" s="243"/>
      <c r="C97" s="447">
        <f>SUM(C77+SA34b!C77)-'A5-Capex'!C40</f>
        <v>95809628</v>
      </c>
      <c r="D97" s="447">
        <f>SUM(D77+SA34b!D77)-'A5-Capex'!D40</f>
        <v>-0.84999999403953552</v>
      </c>
      <c r="E97" s="447">
        <f>SUM(E77+SA34b!E77)-'A5-Capex'!E40</f>
        <v>-223563286.09999996</v>
      </c>
      <c r="F97" s="447">
        <f>SUM(F77+SA34b!F77)-'A5-Capex'!F40</f>
        <v>0</v>
      </c>
      <c r="G97" s="447">
        <f>SUM(G77+SA34b!G77)-'A5-Capex'!G40</f>
        <v>0</v>
      </c>
      <c r="H97" s="447">
        <f>SUM(H77+SA34b!H77)-'A5-Capex'!H40</f>
        <v>0</v>
      </c>
      <c r="I97" s="447">
        <f>SUM(I77+SA34b!I77)-'A5-Capex'!J40</f>
        <v>-103</v>
      </c>
      <c r="J97" s="447">
        <f>SUM(J77+SA34b!J77)-'A5-Capex'!K40</f>
        <v>0</v>
      </c>
      <c r="K97" s="447">
        <f>SUM(K77+SA34b!K77)-'A5-Capex'!L40</f>
        <v>0</v>
      </c>
    </row>
    <row r="98" spans="1:11" ht="11.25" customHeight="1" x14ac:dyDescent="0.25"/>
    <row r="99" spans="1:11" ht="11.25" customHeight="1" x14ac:dyDescent="0.25"/>
    <row r="100" spans="1:11" ht="11.25" customHeight="1" x14ac:dyDescent="0.25"/>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70"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enableFormatConditionsCalculation="0">
    <tabColor indexed="42"/>
  </sheetPr>
  <dimension ref="A1:O133"/>
  <sheetViews>
    <sheetView showGridLines="0" zoomScaleNormal="100" workbookViewId="0">
      <pane xSplit="2" ySplit="3" topLeftCell="C99" activePane="bottomRight" state="frozen"/>
      <selection pane="topRight"/>
      <selection pane="bottomLeft"/>
      <selection pane="bottomRight" activeCell="I100" sqref="I100"/>
    </sheetView>
  </sheetViews>
  <sheetFormatPr defaultColWidth="9.1796875" defaultRowHeight="10.5" x14ac:dyDescent="0.25"/>
  <cols>
    <col min="1" max="1" width="31.54296875" style="149" customWidth="1"/>
    <col min="2" max="2" width="3" style="247" customWidth="1"/>
    <col min="3" max="11" width="9.26953125" style="149" customWidth="1"/>
    <col min="12" max="12" width="9.7265625" style="149" customWidth="1"/>
    <col min="13" max="13" width="9.54296875" style="149" customWidth="1"/>
    <col min="14" max="14" width="9.81640625" style="149" customWidth="1"/>
    <col min="15" max="17" width="9.54296875" style="149" customWidth="1"/>
    <col min="18" max="18" width="9.81640625" style="149" customWidth="1"/>
    <col min="19" max="21" width="9.54296875" style="149" customWidth="1"/>
    <col min="22" max="23" width="9.81640625" style="149" customWidth="1"/>
    <col min="24" max="16384" width="9.1796875" style="149"/>
  </cols>
  <sheetData>
    <row r="1" spans="1:12" ht="13.5" customHeight="1" x14ac:dyDescent="0.3">
      <c r="A1" s="147" t="str">
        <f>muni&amp;" - "&amp;TableA34b</f>
        <v>KZN225 Msunduzi - Supporting Table SA34b Consolidated capital expenditure on existing assets by asset class</v>
      </c>
      <c r="B1" s="147"/>
      <c r="C1" s="147"/>
      <c r="D1" s="147"/>
      <c r="E1" s="147"/>
      <c r="F1" s="147"/>
      <c r="G1" s="147"/>
      <c r="H1" s="147"/>
      <c r="I1" s="147"/>
      <c r="J1" s="147"/>
      <c r="K1" s="147"/>
    </row>
    <row r="2" spans="1:12" ht="28.5" customHeight="1" x14ac:dyDescent="0.25">
      <c r="A2" s="985" t="str">
        <f>desc</f>
        <v>Description</v>
      </c>
      <c r="B2" s="419" t="str">
        <f>head27</f>
        <v>Ref</v>
      </c>
      <c r="C2" s="150" t="str">
        <f>head1b</f>
        <v>2009/10</v>
      </c>
      <c r="D2" s="756" t="str">
        <f>head1A</f>
        <v>2010/11</v>
      </c>
      <c r="E2" s="146" t="str">
        <f>Head1</f>
        <v>2011/12</v>
      </c>
      <c r="F2" s="2677" t="str">
        <f>Head2</f>
        <v>Current Year 2012/13</v>
      </c>
      <c r="G2" s="2678"/>
      <c r="H2" s="2678"/>
      <c r="I2" s="2674" t="str">
        <f>Head3</f>
        <v>2013/14 Medium Term Revenue &amp; Expenditure Framework</v>
      </c>
      <c r="J2" s="2675"/>
      <c r="K2" s="2676"/>
    </row>
    <row r="3" spans="1:12" ht="21" x14ac:dyDescent="0.25">
      <c r="A3" s="180" t="s">
        <v>665</v>
      </c>
      <c r="B3" s="986">
        <v>1</v>
      </c>
      <c r="C3" s="390" t="str">
        <f>Head5</f>
        <v>Audited Outcome</v>
      </c>
      <c r="D3" s="999" t="str">
        <f>Head5</f>
        <v>Audited Outcome</v>
      </c>
      <c r="E3" s="391" t="str">
        <f>Head5</f>
        <v>Audited Outcome</v>
      </c>
      <c r="F3" s="299" t="str">
        <f>Head6</f>
        <v>Original Budget</v>
      </c>
      <c r="G3" s="390" t="str">
        <f>Head7</f>
        <v>Adjusted Budget</v>
      </c>
      <c r="H3" s="389" t="str">
        <f>Head8</f>
        <v>Full Year Forecast</v>
      </c>
      <c r="I3" s="299" t="str">
        <f>Head9</f>
        <v>Budget Year 2013/14</v>
      </c>
      <c r="J3" s="390" t="str">
        <f>Head10</f>
        <v>Budget Year +1 2014/15</v>
      </c>
      <c r="K3" s="391" t="str">
        <f>Head11</f>
        <v>Budget Year +2 2015/16</v>
      </c>
    </row>
    <row r="4" spans="1:12" ht="11.25" customHeight="1" x14ac:dyDescent="0.25">
      <c r="A4" s="861" t="s">
        <v>1226</v>
      </c>
      <c r="B4" s="749"/>
      <c r="C4" s="1099"/>
      <c r="D4" s="311"/>
      <c r="E4" s="314"/>
      <c r="F4" s="313"/>
      <c r="G4" s="311"/>
      <c r="H4" s="312"/>
      <c r="I4" s="313"/>
      <c r="J4" s="311"/>
      <c r="K4" s="314"/>
    </row>
    <row r="5" spans="1:12" ht="5.15" customHeight="1" x14ac:dyDescent="0.25">
      <c r="A5" s="249"/>
      <c r="B5" s="182"/>
      <c r="C5" s="315"/>
      <c r="D5" s="315"/>
      <c r="E5" s="318"/>
      <c r="F5" s="317"/>
      <c r="G5" s="315"/>
      <c r="H5" s="316"/>
      <c r="I5" s="317"/>
      <c r="J5" s="315"/>
      <c r="K5" s="318"/>
    </row>
    <row r="6" spans="1:12" ht="11.25" customHeight="1" x14ac:dyDescent="0.25">
      <c r="A6" s="249" t="s">
        <v>974</v>
      </c>
      <c r="B6" s="182"/>
      <c r="C6" s="394">
        <f>C7+C10+C14+C18+C21</f>
        <v>95810000</v>
      </c>
      <c r="D6" s="394">
        <f t="shared" ref="D6:K6" si="0">D7+D10+D14+D18+D21</f>
        <v>73619107.780000001</v>
      </c>
      <c r="E6" s="345">
        <f t="shared" si="0"/>
        <v>0</v>
      </c>
      <c r="F6" s="395">
        <f t="shared" si="0"/>
        <v>84750780</v>
      </c>
      <c r="G6" s="394">
        <f t="shared" si="0"/>
        <v>142901864</v>
      </c>
      <c r="H6" s="396">
        <f t="shared" si="0"/>
        <v>142901864</v>
      </c>
      <c r="I6" s="395">
        <f t="shared" si="0"/>
        <v>268558405</v>
      </c>
      <c r="J6" s="394">
        <f t="shared" si="0"/>
        <v>175829000</v>
      </c>
      <c r="K6" s="345">
        <f t="shared" si="0"/>
        <v>186400000</v>
      </c>
      <c r="L6" s="1556"/>
    </row>
    <row r="7" spans="1:12" s="1532" customFormat="1" ht="12.5" x14ac:dyDescent="0.25">
      <c r="A7" s="250" t="s">
        <v>534</v>
      </c>
      <c r="B7" s="182"/>
      <c r="C7" s="1110">
        <f>SUM(C8:C9)</f>
        <v>25990000</v>
      </c>
      <c r="D7" s="1110">
        <f t="shared" ref="D7:K7" si="1">SUM(D8:D9)</f>
        <v>35628706</v>
      </c>
      <c r="E7" s="1423">
        <f t="shared" si="1"/>
        <v>0</v>
      </c>
      <c r="F7" s="1111">
        <f t="shared" si="1"/>
        <v>33747780</v>
      </c>
      <c r="G7" s="1110">
        <f t="shared" si="1"/>
        <v>57314570</v>
      </c>
      <c r="H7" s="1147">
        <f t="shared" si="1"/>
        <v>57314570</v>
      </c>
      <c r="I7" s="1424">
        <f t="shared" si="1"/>
        <v>157246000</v>
      </c>
      <c r="J7" s="1110">
        <f t="shared" si="1"/>
        <v>60870000</v>
      </c>
      <c r="K7" s="1147">
        <f t="shared" si="1"/>
        <v>27200000</v>
      </c>
      <c r="L7" s="370"/>
    </row>
    <row r="8" spans="1:12" s="1532" customFormat="1" ht="12.5" x14ac:dyDescent="0.25">
      <c r="A8" s="1289" t="s">
        <v>535</v>
      </c>
      <c r="B8" s="182"/>
      <c r="C8" s="1614">
        <v>22300000</v>
      </c>
      <c r="D8" s="1614">
        <v>35628706</v>
      </c>
      <c r="E8" s="1634"/>
      <c r="F8" s="1635">
        <v>33747780</v>
      </c>
      <c r="G8" s="1053">
        <f>23566790+F8</f>
        <v>57314570</v>
      </c>
      <c r="H8" s="1053">
        <f>G8</f>
        <v>57314570</v>
      </c>
      <c r="I8" s="1614">
        <f>161246000-4000000</f>
        <v>157246000</v>
      </c>
      <c r="J8" s="1634">
        <v>60870000</v>
      </c>
      <c r="K8" s="1634">
        <v>27200000</v>
      </c>
      <c r="L8" s="1556"/>
    </row>
    <row r="9" spans="1:12" s="1532" customFormat="1" ht="12.5" x14ac:dyDescent="0.25">
      <c r="A9" s="1289" t="s">
        <v>536</v>
      </c>
      <c r="B9" s="182"/>
      <c r="C9" s="1614">
        <v>3690000</v>
      </c>
      <c r="D9" s="1614"/>
      <c r="E9" s="1634"/>
      <c r="F9" s="1635"/>
      <c r="G9" s="1053"/>
      <c r="H9" s="1053"/>
      <c r="I9" s="1614"/>
      <c r="J9" s="1634"/>
      <c r="K9" s="1634"/>
      <c r="L9" s="1557"/>
    </row>
    <row r="10" spans="1:12" s="1532" customFormat="1" ht="12.5" x14ac:dyDescent="0.25">
      <c r="A10" s="250" t="s">
        <v>21</v>
      </c>
      <c r="B10" s="182"/>
      <c r="C10" s="1063">
        <f>SUM(C11:C13)</f>
        <v>4900000</v>
      </c>
      <c r="D10" s="1063">
        <f t="shared" ref="D10:K10" si="2">SUM(D11:D13)</f>
        <v>11109438</v>
      </c>
      <c r="E10" s="1425">
        <f t="shared" si="2"/>
        <v>0</v>
      </c>
      <c r="F10" s="1067">
        <f t="shared" si="2"/>
        <v>5000000</v>
      </c>
      <c r="G10" s="1063">
        <f t="shared" si="2"/>
        <v>39584294</v>
      </c>
      <c r="H10" s="1150">
        <f t="shared" si="2"/>
        <v>39584294</v>
      </c>
      <c r="I10" s="1426">
        <f t="shared" si="2"/>
        <v>30500000</v>
      </c>
      <c r="J10" s="1063">
        <f t="shared" si="2"/>
        <v>16380000</v>
      </c>
      <c r="K10" s="1150">
        <f t="shared" si="2"/>
        <v>21210000</v>
      </c>
      <c r="L10" s="1557"/>
    </row>
    <row r="11" spans="1:12" s="1532" customFormat="1" ht="12.5" x14ac:dyDescent="0.25">
      <c r="A11" s="1289" t="s">
        <v>22</v>
      </c>
      <c r="B11" s="182"/>
      <c r="C11" s="1614"/>
      <c r="D11" s="1614"/>
      <c r="E11" s="1615"/>
      <c r="F11" s="1616">
        <v>5000000</v>
      </c>
      <c r="G11" s="1053">
        <f>73451536-38867242+F11</f>
        <v>39584294</v>
      </c>
      <c r="H11" s="1053">
        <f>G11</f>
        <v>39584294</v>
      </c>
      <c r="I11" s="1618">
        <f>130500000-100000000</f>
        <v>30500000</v>
      </c>
      <c r="J11" s="1614">
        <f>200980000-4600000-180000000</f>
        <v>16380000</v>
      </c>
      <c r="K11" s="1617">
        <f>271210000-250000000</f>
        <v>21210000</v>
      </c>
      <c r="L11" s="1557"/>
    </row>
    <row r="12" spans="1:12" s="1532" customFormat="1" ht="12.5" x14ac:dyDescent="0.25">
      <c r="A12" s="1289" t="s">
        <v>23</v>
      </c>
      <c r="B12" s="182"/>
      <c r="C12" s="1614">
        <v>4900000</v>
      </c>
      <c r="D12" s="1614">
        <v>11109438</v>
      </c>
      <c r="E12" s="1615"/>
      <c r="F12" s="1616"/>
      <c r="G12" s="1053"/>
      <c r="H12" s="1053"/>
      <c r="I12" s="1618"/>
      <c r="J12" s="1614"/>
      <c r="K12" s="1617"/>
      <c r="L12" s="1557"/>
    </row>
    <row r="13" spans="1:12" s="1532" customFormat="1" ht="12.5" x14ac:dyDescent="0.25">
      <c r="A13" s="1289" t="s">
        <v>137</v>
      </c>
      <c r="B13" s="182"/>
      <c r="C13" s="1614">
        <v>0</v>
      </c>
      <c r="D13" s="1614"/>
      <c r="E13" s="1615"/>
      <c r="F13" s="1616"/>
      <c r="G13" s="1053"/>
      <c r="H13" s="1053"/>
      <c r="I13" s="1618"/>
      <c r="J13" s="1614"/>
      <c r="K13" s="1617"/>
      <c r="L13" s="1557"/>
    </row>
    <row r="14" spans="1:12" s="1532" customFormat="1" ht="12.5" x14ac:dyDescent="0.25">
      <c r="A14" s="254" t="s">
        <v>24</v>
      </c>
      <c r="B14" s="350"/>
      <c r="C14" s="1063">
        <f>SUM(C15:C17)</f>
        <v>27507000</v>
      </c>
      <c r="D14" s="1063">
        <f t="shared" ref="D14:K14" si="3">SUM(D15:D17)</f>
        <v>11974254</v>
      </c>
      <c r="E14" s="1425">
        <f t="shared" si="3"/>
        <v>0</v>
      </c>
      <c r="F14" s="1067">
        <f t="shared" si="3"/>
        <v>17750000</v>
      </c>
      <c r="G14" s="1063">
        <f t="shared" si="3"/>
        <v>17750000</v>
      </c>
      <c r="H14" s="1150">
        <f t="shared" si="3"/>
        <v>17750000</v>
      </c>
      <c r="I14" s="1426">
        <f t="shared" si="3"/>
        <v>27925000</v>
      </c>
      <c r="J14" s="1063">
        <f t="shared" si="3"/>
        <v>48879000</v>
      </c>
      <c r="K14" s="1150">
        <f t="shared" si="3"/>
        <v>73490000</v>
      </c>
      <c r="L14" s="1557"/>
    </row>
    <row r="15" spans="1:12" s="1532" customFormat="1" ht="12.5" x14ac:dyDescent="0.25">
      <c r="A15" s="1289" t="s">
        <v>25</v>
      </c>
      <c r="B15" s="182"/>
      <c r="C15" s="1614"/>
      <c r="D15" s="1614"/>
      <c r="E15" s="1615"/>
      <c r="F15" s="1616"/>
      <c r="G15" s="1614"/>
      <c r="H15" s="1617"/>
      <c r="I15" s="1618">
        <v>10500000</v>
      </c>
      <c r="J15" s="1614">
        <v>15300000</v>
      </c>
      <c r="K15" s="1617">
        <v>9000000</v>
      </c>
      <c r="L15" s="1557"/>
    </row>
    <row r="16" spans="1:12" s="1532" customFormat="1" ht="12.5" x14ac:dyDescent="0.25">
      <c r="A16" s="1289" t="s">
        <v>26</v>
      </c>
      <c r="B16" s="182"/>
      <c r="C16" s="1614"/>
      <c r="D16" s="1614"/>
      <c r="E16" s="1615"/>
      <c r="F16" s="1616"/>
      <c r="G16" s="1614"/>
      <c r="H16" s="1617"/>
      <c r="I16" s="1618"/>
      <c r="J16" s="1614"/>
      <c r="K16" s="1617"/>
      <c r="L16" s="1557"/>
    </row>
    <row r="17" spans="1:12" s="1532" customFormat="1" ht="12.5" x14ac:dyDescent="0.25">
      <c r="A17" s="1289" t="s">
        <v>27</v>
      </c>
      <c r="B17" s="182"/>
      <c r="C17" s="1614">
        <v>27507000</v>
      </c>
      <c r="D17" s="1614">
        <v>11974254</v>
      </c>
      <c r="E17" s="1615"/>
      <c r="F17" s="1616">
        <v>17750000</v>
      </c>
      <c r="G17" s="1614">
        <f>F17</f>
        <v>17750000</v>
      </c>
      <c r="H17" s="1617">
        <f>G17</f>
        <v>17750000</v>
      </c>
      <c r="I17" s="1618">
        <v>17425000</v>
      </c>
      <c r="J17" s="1614">
        <v>33579000</v>
      </c>
      <c r="K17" s="1617">
        <v>64490000</v>
      </c>
      <c r="L17" s="1557"/>
    </row>
    <row r="18" spans="1:12" s="1532" customFormat="1" ht="12.5" x14ac:dyDescent="0.25">
      <c r="A18" s="254" t="s">
        <v>28</v>
      </c>
      <c r="B18" s="182"/>
      <c r="C18" s="1063">
        <f t="shared" ref="C18:K18" si="4">SUM(C19:C20)</f>
        <v>37413000</v>
      </c>
      <c r="D18" s="1063">
        <f t="shared" si="4"/>
        <v>14435651</v>
      </c>
      <c r="E18" s="1425">
        <f t="shared" si="4"/>
        <v>0</v>
      </c>
      <c r="F18" s="1067">
        <f t="shared" si="4"/>
        <v>26200000</v>
      </c>
      <c r="G18" s="1063">
        <f t="shared" si="4"/>
        <v>26200000</v>
      </c>
      <c r="H18" s="1150">
        <f t="shared" si="4"/>
        <v>26200000</v>
      </c>
      <c r="I18" s="1426">
        <f t="shared" si="4"/>
        <v>44796555</v>
      </c>
      <c r="J18" s="1063">
        <f t="shared" si="4"/>
        <v>42200000</v>
      </c>
      <c r="K18" s="1150">
        <f t="shared" si="4"/>
        <v>57000000</v>
      </c>
      <c r="L18" s="1557"/>
    </row>
    <row r="19" spans="1:12" s="1532" customFormat="1" ht="12.5" x14ac:dyDescent="0.25">
      <c r="A19" s="1289" t="s">
        <v>27</v>
      </c>
      <c r="B19" s="182"/>
      <c r="C19" s="1614">
        <v>37413000</v>
      </c>
      <c r="D19" s="1614">
        <v>14435651</v>
      </c>
      <c r="E19" s="1615"/>
      <c r="F19" s="1616">
        <v>26200000</v>
      </c>
      <c r="G19" s="1614">
        <f>F19</f>
        <v>26200000</v>
      </c>
      <c r="H19" s="1617">
        <f>G19</f>
        <v>26200000</v>
      </c>
      <c r="I19" s="1618">
        <v>44796555</v>
      </c>
      <c r="J19" s="1614">
        <v>42200000</v>
      </c>
      <c r="K19" s="1617">
        <v>57000000</v>
      </c>
      <c r="L19" s="1557"/>
    </row>
    <row r="20" spans="1:12" s="1532" customFormat="1" ht="12.5" x14ac:dyDescent="0.25">
      <c r="A20" s="1289" t="s">
        <v>29</v>
      </c>
      <c r="B20" s="182"/>
      <c r="C20" s="1614"/>
      <c r="D20" s="1614"/>
      <c r="E20" s="1615"/>
      <c r="F20" s="1616"/>
      <c r="G20" s="1614"/>
      <c r="H20" s="1617"/>
      <c r="I20" s="1618"/>
      <c r="J20" s="1614"/>
      <c r="K20" s="1617"/>
      <c r="L20" s="1557"/>
    </row>
    <row r="21" spans="1:12" s="1532" customFormat="1" ht="12.5" x14ac:dyDescent="0.25">
      <c r="A21" s="250" t="s">
        <v>30</v>
      </c>
      <c r="B21" s="182"/>
      <c r="C21" s="1063">
        <f>SUM(C22:C25)</f>
        <v>0</v>
      </c>
      <c r="D21" s="1063">
        <f t="shared" ref="D21:K21" si="5">SUM(D22:D25)</f>
        <v>471058.78</v>
      </c>
      <c r="E21" s="1063">
        <f t="shared" si="5"/>
        <v>0</v>
      </c>
      <c r="F21" s="1067">
        <f t="shared" si="5"/>
        <v>2053000</v>
      </c>
      <c r="G21" s="1063">
        <f t="shared" si="5"/>
        <v>2053000</v>
      </c>
      <c r="H21" s="1150">
        <f t="shared" si="5"/>
        <v>2053000</v>
      </c>
      <c r="I21" s="1426">
        <f t="shared" si="5"/>
        <v>8090850</v>
      </c>
      <c r="J21" s="1063">
        <f t="shared" si="5"/>
        <v>7500000</v>
      </c>
      <c r="K21" s="1150">
        <f t="shared" si="5"/>
        <v>7500000</v>
      </c>
      <c r="L21" s="1557"/>
    </row>
    <row r="22" spans="1:12" s="1532" customFormat="1" ht="12.5" x14ac:dyDescent="0.25">
      <c r="A22" s="1289" t="s">
        <v>1084</v>
      </c>
      <c r="B22" s="182"/>
      <c r="C22" s="1614">
        <v>0</v>
      </c>
      <c r="D22" s="1614">
        <v>471058.78</v>
      </c>
      <c r="E22" s="1636"/>
      <c r="F22" s="1635">
        <v>2053000</v>
      </c>
      <c r="G22" s="1614">
        <f>F22</f>
        <v>2053000</v>
      </c>
      <c r="H22" s="1636">
        <f>G22</f>
        <v>2053000</v>
      </c>
      <c r="I22" s="1635">
        <v>8090850</v>
      </c>
      <c r="J22" s="1614">
        <v>7500000</v>
      </c>
      <c r="K22" s="1617">
        <v>7500000</v>
      </c>
      <c r="L22" s="1556"/>
    </row>
    <row r="23" spans="1:12" s="1532" customFormat="1" ht="12.5" x14ac:dyDescent="0.25">
      <c r="A23" s="1289" t="s">
        <v>320</v>
      </c>
      <c r="B23" s="182">
        <v>2</v>
      </c>
      <c r="C23" s="1614"/>
      <c r="D23" s="1614"/>
      <c r="E23" s="1634"/>
      <c r="F23" s="1635"/>
      <c r="G23" s="1614"/>
      <c r="H23" s="1636"/>
      <c r="I23" s="1635"/>
      <c r="J23" s="1614"/>
      <c r="K23" s="1617"/>
      <c r="L23" s="1557"/>
    </row>
    <row r="24" spans="1:12" s="1532" customFormat="1" ht="12.5" x14ac:dyDescent="0.25">
      <c r="A24" s="1289" t="s">
        <v>138</v>
      </c>
      <c r="B24" s="182"/>
      <c r="C24" s="1614"/>
      <c r="D24" s="1614"/>
      <c r="E24" s="1634"/>
      <c r="F24" s="1635"/>
      <c r="G24" s="1614"/>
      <c r="H24" s="1636"/>
      <c r="I24" s="1635"/>
      <c r="J24" s="1614"/>
      <c r="K24" s="1634"/>
      <c r="L24" s="1557"/>
    </row>
    <row r="25" spans="1:12" s="1532" customFormat="1" ht="12.5" x14ac:dyDescent="0.25">
      <c r="A25" s="1289" t="s">
        <v>292</v>
      </c>
      <c r="B25" s="182">
        <v>3</v>
      </c>
      <c r="C25" s="1614"/>
      <c r="D25" s="1614"/>
      <c r="E25" s="1634"/>
      <c r="F25" s="1635"/>
      <c r="G25" s="1614"/>
      <c r="H25" s="1636"/>
      <c r="I25" s="1635"/>
      <c r="J25" s="1614"/>
      <c r="K25" s="1634"/>
      <c r="L25" s="1557"/>
    </row>
    <row r="26" spans="1:12" ht="5.15" customHeight="1" x14ac:dyDescent="0.25">
      <c r="A26" s="273"/>
      <c r="B26" s="182"/>
      <c r="C26" s="203"/>
      <c r="D26" s="203"/>
      <c r="E26" s="204"/>
      <c r="F26" s="205"/>
      <c r="G26" s="203"/>
      <c r="H26" s="202"/>
      <c r="I26" s="205"/>
      <c r="J26" s="203"/>
      <c r="K26" s="204"/>
      <c r="L26" s="370"/>
    </row>
    <row r="27" spans="1:12" ht="17.25" customHeight="1" x14ac:dyDescent="0.25">
      <c r="A27" s="249" t="s">
        <v>1559</v>
      </c>
      <c r="B27" s="182"/>
      <c r="C27" s="218">
        <f>SUM(C28:C41)</f>
        <v>0</v>
      </c>
      <c r="D27" s="218">
        <f t="shared" ref="D27:K27" si="6">SUM(D28:D41)</f>
        <v>420398.99</v>
      </c>
      <c r="E27" s="219">
        <f t="shared" si="6"/>
        <v>0</v>
      </c>
      <c r="F27" s="220">
        <f t="shared" si="6"/>
        <v>10300000</v>
      </c>
      <c r="G27" s="218">
        <f t="shared" si="6"/>
        <v>8300000</v>
      </c>
      <c r="H27" s="217">
        <f t="shared" si="6"/>
        <v>8300000</v>
      </c>
      <c r="I27" s="220">
        <f t="shared" si="6"/>
        <v>4500000</v>
      </c>
      <c r="J27" s="218">
        <f t="shared" si="6"/>
        <v>2800000</v>
      </c>
      <c r="K27" s="219">
        <f t="shared" si="6"/>
        <v>1200000</v>
      </c>
      <c r="L27" s="370"/>
    </row>
    <row r="28" spans="1:12" ht="11.25" customHeight="1" x14ac:dyDescent="0.25">
      <c r="A28" s="250" t="s">
        <v>2</v>
      </c>
      <c r="B28" s="182"/>
      <c r="C28" s="1619"/>
      <c r="D28" s="1619"/>
      <c r="E28" s="1888"/>
      <c r="F28" s="1957">
        <v>700000</v>
      </c>
      <c r="G28" s="1053">
        <f>F28</f>
        <v>700000</v>
      </c>
      <c r="H28" s="1053">
        <f>G28</f>
        <v>700000</v>
      </c>
      <c r="I28" s="1635"/>
      <c r="J28" s="1619"/>
      <c r="K28" s="1888"/>
      <c r="L28" s="1557"/>
    </row>
    <row r="29" spans="1:12" ht="11.25" customHeight="1" x14ac:dyDescent="0.25">
      <c r="A29" s="250" t="s">
        <v>1579</v>
      </c>
      <c r="B29" s="182"/>
      <c r="C29" s="1614"/>
      <c r="D29" s="1614">
        <v>64682.5</v>
      </c>
      <c r="E29" s="1634"/>
      <c r="F29" s="1635">
        <v>7100000</v>
      </c>
      <c r="G29" s="1053">
        <f>-2000000+F29</f>
        <v>5100000</v>
      </c>
      <c r="H29" s="1053">
        <f>G29</f>
        <v>5100000</v>
      </c>
      <c r="I29" s="1635">
        <v>1700000</v>
      </c>
      <c r="J29" s="1614"/>
      <c r="K29" s="1634"/>
      <c r="L29" s="1557"/>
    </row>
    <row r="30" spans="1:12" ht="11.25" customHeight="1" x14ac:dyDescent="0.25">
      <c r="A30" s="250" t="s">
        <v>503</v>
      </c>
      <c r="B30" s="182"/>
      <c r="C30" s="1614"/>
      <c r="D30" s="1614"/>
      <c r="E30" s="1634"/>
      <c r="F30" s="1635"/>
      <c r="G30" s="1053"/>
      <c r="H30" s="1053"/>
      <c r="I30" s="1635"/>
      <c r="J30" s="1614"/>
      <c r="K30" s="1634"/>
      <c r="L30" s="1557"/>
    </row>
    <row r="31" spans="1:12" ht="11.25" customHeight="1" x14ac:dyDescent="0.25">
      <c r="A31" s="250" t="s">
        <v>1</v>
      </c>
      <c r="B31" s="182"/>
      <c r="C31" s="1614"/>
      <c r="D31" s="1614"/>
      <c r="E31" s="1634"/>
      <c r="F31" s="1635">
        <v>2500000</v>
      </c>
      <c r="G31" s="1053">
        <f>F31</f>
        <v>2500000</v>
      </c>
      <c r="H31" s="1053">
        <f>G31</f>
        <v>2500000</v>
      </c>
      <c r="I31" s="1635"/>
      <c r="J31" s="1614"/>
      <c r="K31" s="1634"/>
      <c r="L31" s="1557"/>
    </row>
    <row r="32" spans="1:12" ht="11.25" customHeight="1" x14ac:dyDescent="0.25">
      <c r="A32" s="250" t="s">
        <v>339</v>
      </c>
      <c r="B32" s="182"/>
      <c r="C32" s="1614"/>
      <c r="D32" s="1614">
        <v>205314.49</v>
      </c>
      <c r="E32" s="1634"/>
      <c r="F32" s="1635"/>
      <c r="G32" s="1053"/>
      <c r="H32" s="1053"/>
      <c r="I32" s="1635"/>
      <c r="J32" s="1614"/>
      <c r="K32" s="1634"/>
      <c r="L32" s="1557"/>
    </row>
    <row r="33" spans="1:15" ht="11.25" customHeight="1" x14ac:dyDescent="0.25">
      <c r="A33" s="250" t="s">
        <v>0</v>
      </c>
      <c r="B33" s="182"/>
      <c r="C33" s="1614"/>
      <c r="D33" s="1614"/>
      <c r="E33" s="1634"/>
      <c r="F33" s="1635"/>
      <c r="G33" s="1053"/>
      <c r="H33" s="1053"/>
      <c r="I33" s="1635"/>
      <c r="J33" s="1614"/>
      <c r="K33" s="1634"/>
      <c r="L33" s="1557"/>
    </row>
    <row r="34" spans="1:15" ht="11.25" customHeight="1" x14ac:dyDescent="0.25">
      <c r="A34" s="250" t="s">
        <v>1580</v>
      </c>
      <c r="B34" s="182"/>
      <c r="C34" s="1614"/>
      <c r="D34" s="1614"/>
      <c r="E34" s="1634"/>
      <c r="F34" s="1635"/>
      <c r="G34" s="1053"/>
      <c r="H34" s="1053"/>
      <c r="I34" s="1635"/>
      <c r="J34" s="1614"/>
      <c r="K34" s="1634"/>
      <c r="L34" s="1557"/>
    </row>
    <row r="35" spans="1:15" ht="11.25" customHeight="1" x14ac:dyDescent="0.25">
      <c r="A35" s="250" t="s">
        <v>959</v>
      </c>
      <c r="B35" s="182"/>
      <c r="C35" s="1614"/>
      <c r="D35" s="1614"/>
      <c r="E35" s="1634"/>
      <c r="F35" s="1635"/>
      <c r="G35" s="1053"/>
      <c r="H35" s="1053"/>
      <c r="I35" s="1635"/>
      <c r="J35" s="1614"/>
      <c r="K35" s="1634"/>
      <c r="L35" s="1557"/>
    </row>
    <row r="36" spans="1:15" ht="11.25" customHeight="1" x14ac:dyDescent="0.25">
      <c r="A36" s="250" t="s">
        <v>1515</v>
      </c>
      <c r="B36" s="182">
        <v>7</v>
      </c>
      <c r="C36" s="1614"/>
      <c r="D36" s="1614"/>
      <c r="E36" s="1634"/>
      <c r="F36" s="1635"/>
      <c r="G36" s="1053"/>
      <c r="H36" s="1053"/>
      <c r="I36" s="1635"/>
      <c r="J36" s="1614"/>
      <c r="K36" s="1634"/>
      <c r="L36" s="1557"/>
    </row>
    <row r="37" spans="1:15" ht="11.25" customHeight="1" x14ac:dyDescent="0.25">
      <c r="A37" s="250" t="s">
        <v>1281</v>
      </c>
      <c r="B37" s="182"/>
      <c r="C37" s="1614"/>
      <c r="D37" s="1614"/>
      <c r="E37" s="1634"/>
      <c r="F37" s="1635"/>
      <c r="G37" s="1053"/>
      <c r="H37" s="1053"/>
      <c r="I37" s="1635"/>
      <c r="J37" s="1614"/>
      <c r="K37" s="1634"/>
      <c r="L37" s="1557"/>
      <c r="O37" s="370"/>
    </row>
    <row r="38" spans="1:15" ht="11.25" customHeight="1" x14ac:dyDescent="0.25">
      <c r="A38" s="250" t="s">
        <v>722</v>
      </c>
      <c r="B38" s="182"/>
      <c r="C38" s="1614"/>
      <c r="D38" s="1614"/>
      <c r="E38" s="1634"/>
      <c r="F38" s="1635"/>
      <c r="G38" s="1053"/>
      <c r="H38" s="1053"/>
      <c r="I38" s="1635"/>
      <c r="J38" s="1614"/>
      <c r="K38" s="1634"/>
      <c r="L38" s="1557"/>
    </row>
    <row r="39" spans="1:15" ht="11.25" customHeight="1" x14ac:dyDescent="0.25">
      <c r="A39" s="250" t="s">
        <v>501</v>
      </c>
      <c r="B39" s="182"/>
      <c r="C39" s="1614"/>
      <c r="D39" s="1614">
        <v>150402</v>
      </c>
      <c r="E39" s="1634"/>
      <c r="F39" s="1635"/>
      <c r="G39" s="1053"/>
      <c r="H39" s="1053"/>
      <c r="I39" s="1635">
        <v>2800000</v>
      </c>
      <c r="J39" s="1614">
        <v>2800000</v>
      </c>
      <c r="K39" s="1634">
        <v>1200000</v>
      </c>
      <c r="L39" s="1557"/>
    </row>
    <row r="40" spans="1:15" ht="11.25" customHeight="1" x14ac:dyDescent="0.25">
      <c r="A40" s="250" t="s">
        <v>31</v>
      </c>
      <c r="B40" s="182">
        <v>8</v>
      </c>
      <c r="C40" s="1614"/>
      <c r="D40" s="1614"/>
      <c r="E40" s="1634"/>
      <c r="F40" s="1635"/>
      <c r="G40" s="1053"/>
      <c r="H40" s="1053"/>
      <c r="I40" s="1635"/>
      <c r="J40" s="1614"/>
      <c r="K40" s="1634"/>
      <c r="L40" s="370"/>
    </row>
    <row r="41" spans="1:15" ht="11.25" customHeight="1" x14ac:dyDescent="0.25">
      <c r="A41" s="250" t="s">
        <v>292</v>
      </c>
      <c r="B41" s="182"/>
      <c r="C41" s="1656"/>
      <c r="D41" s="1656"/>
      <c r="E41" s="1657"/>
      <c r="F41" s="1658"/>
      <c r="G41" s="1053"/>
      <c r="H41" s="1053"/>
      <c r="I41" s="1658"/>
      <c r="J41" s="1656"/>
      <c r="K41" s="1657"/>
      <c r="L41" s="1557"/>
    </row>
    <row r="42" spans="1:15" ht="5.15" customHeight="1" x14ac:dyDescent="0.25">
      <c r="A42" s="273"/>
      <c r="B42" s="182"/>
      <c r="C42" s="203"/>
      <c r="D42" s="203"/>
      <c r="E42" s="204"/>
      <c r="F42" s="205"/>
      <c r="G42" s="203"/>
      <c r="H42" s="202"/>
      <c r="I42" s="205"/>
      <c r="J42" s="203"/>
      <c r="K42" s="204"/>
      <c r="L42" s="370"/>
    </row>
    <row r="43" spans="1:15" ht="17.25" customHeight="1" x14ac:dyDescent="0.25">
      <c r="A43" s="249" t="s">
        <v>962</v>
      </c>
      <c r="B43" s="182"/>
      <c r="C43" s="203">
        <f>SUM(C44:C45)</f>
        <v>0</v>
      </c>
      <c r="D43" s="203">
        <f t="shared" ref="D43:K43" si="7">SUM(D44:D45)</f>
        <v>0</v>
      </c>
      <c r="E43" s="204">
        <f t="shared" si="7"/>
        <v>0</v>
      </c>
      <c r="F43" s="205">
        <f t="shared" si="7"/>
        <v>0</v>
      </c>
      <c r="G43" s="203">
        <f t="shared" si="7"/>
        <v>0</v>
      </c>
      <c r="H43" s="202">
        <f t="shared" si="7"/>
        <v>0</v>
      </c>
      <c r="I43" s="205">
        <f t="shared" si="7"/>
        <v>0</v>
      </c>
      <c r="J43" s="203">
        <f t="shared" si="7"/>
        <v>0</v>
      </c>
      <c r="K43" s="204">
        <f t="shared" si="7"/>
        <v>0</v>
      </c>
      <c r="L43" s="370"/>
    </row>
    <row r="44" spans="1:15" ht="11.25" customHeight="1" x14ac:dyDescent="0.25">
      <c r="A44" s="250" t="s">
        <v>1253</v>
      </c>
      <c r="B44" s="182"/>
      <c r="C44" s="1623"/>
      <c r="D44" s="1623"/>
      <c r="E44" s="1978"/>
      <c r="F44" s="1979"/>
      <c r="G44" s="1623"/>
      <c r="H44" s="1980"/>
      <c r="I44" s="1979"/>
      <c r="J44" s="1623"/>
      <c r="K44" s="1978"/>
      <c r="L44" s="370"/>
    </row>
    <row r="45" spans="1:15" ht="11.25" customHeight="1" x14ac:dyDescent="0.25">
      <c r="A45" s="254" t="s">
        <v>292</v>
      </c>
      <c r="B45" s="182">
        <v>9</v>
      </c>
      <c r="C45" s="1651"/>
      <c r="D45" s="1651"/>
      <c r="E45" s="1981"/>
      <c r="F45" s="1982"/>
      <c r="G45" s="1651"/>
      <c r="H45" s="1983"/>
      <c r="I45" s="1982"/>
      <c r="J45" s="1651"/>
      <c r="K45" s="1981"/>
      <c r="L45" s="370"/>
    </row>
    <row r="46" spans="1:15" ht="5.15" customHeight="1" x14ac:dyDescent="0.25">
      <c r="A46" s="817"/>
      <c r="B46" s="182"/>
      <c r="C46" s="203"/>
      <c r="D46" s="203"/>
      <c r="E46" s="204"/>
      <c r="F46" s="205"/>
      <c r="G46" s="203"/>
      <c r="H46" s="202"/>
      <c r="I46" s="205"/>
      <c r="J46" s="203"/>
      <c r="K46" s="204"/>
      <c r="L46" s="370"/>
    </row>
    <row r="47" spans="1:15" ht="17.25" customHeight="1" x14ac:dyDescent="0.25">
      <c r="A47" s="810" t="s">
        <v>963</v>
      </c>
      <c r="B47" s="182"/>
      <c r="C47" s="218">
        <f>SUM(C48:C49)</f>
        <v>0</v>
      </c>
      <c r="D47" s="218">
        <f t="shared" ref="D47:K47" si="8">SUM(D48:D49)</f>
        <v>0</v>
      </c>
      <c r="E47" s="219">
        <f t="shared" si="8"/>
        <v>0</v>
      </c>
      <c r="F47" s="220">
        <f t="shared" si="8"/>
        <v>0</v>
      </c>
      <c r="G47" s="218">
        <f t="shared" si="8"/>
        <v>0</v>
      </c>
      <c r="H47" s="217">
        <f t="shared" si="8"/>
        <v>0</v>
      </c>
      <c r="I47" s="220">
        <f t="shared" si="8"/>
        <v>0</v>
      </c>
      <c r="J47" s="218">
        <f t="shared" si="8"/>
        <v>0</v>
      </c>
      <c r="K47" s="219">
        <f t="shared" si="8"/>
        <v>0</v>
      </c>
      <c r="L47" s="370"/>
    </row>
    <row r="48" spans="1:15" ht="11.25" customHeight="1" x14ac:dyDescent="0.25">
      <c r="A48" s="254" t="s">
        <v>502</v>
      </c>
      <c r="B48" s="182"/>
      <c r="C48" s="1619"/>
      <c r="D48" s="1619"/>
      <c r="E48" s="1888"/>
      <c r="F48" s="1957"/>
      <c r="G48" s="1619"/>
      <c r="H48" s="1977"/>
      <c r="I48" s="1957"/>
      <c r="J48" s="1619"/>
      <c r="K48" s="1888"/>
      <c r="L48" s="1557"/>
    </row>
    <row r="49" spans="1:12" ht="11.25" customHeight="1" x14ac:dyDescent="0.25">
      <c r="A49" s="254" t="s">
        <v>292</v>
      </c>
      <c r="B49" s="182"/>
      <c r="C49" s="1656"/>
      <c r="D49" s="1656"/>
      <c r="E49" s="1657"/>
      <c r="F49" s="1658"/>
      <c r="G49" s="1656"/>
      <c r="H49" s="1659"/>
      <c r="I49" s="1658"/>
      <c r="J49" s="1656"/>
      <c r="K49" s="1657"/>
      <c r="L49" s="370"/>
    </row>
    <row r="50" spans="1:12" ht="5.15" customHeight="1" x14ac:dyDescent="0.25">
      <c r="A50" s="817"/>
      <c r="B50" s="182"/>
      <c r="C50" s="203"/>
      <c r="D50" s="203"/>
      <c r="E50" s="204"/>
      <c r="F50" s="205"/>
      <c r="G50" s="203"/>
      <c r="H50" s="202"/>
      <c r="I50" s="205"/>
      <c r="J50" s="203"/>
      <c r="K50" s="204"/>
      <c r="L50" s="370"/>
    </row>
    <row r="51" spans="1:12" ht="17.25" customHeight="1" x14ac:dyDescent="0.25">
      <c r="A51" s="810" t="s">
        <v>964</v>
      </c>
      <c r="B51" s="182"/>
      <c r="C51" s="218">
        <f>SUM(C52:C63)</f>
        <v>0</v>
      </c>
      <c r="D51" s="218">
        <f t="shared" ref="D51:K51" si="9">SUM(D52:D63)</f>
        <v>14782347.289999999</v>
      </c>
      <c r="E51" s="219">
        <f t="shared" si="9"/>
        <v>0</v>
      </c>
      <c r="F51" s="220">
        <f t="shared" si="9"/>
        <v>24860810</v>
      </c>
      <c r="G51" s="218">
        <f t="shared" si="9"/>
        <v>22900810</v>
      </c>
      <c r="H51" s="217">
        <f t="shared" si="9"/>
        <v>22900810</v>
      </c>
      <c r="I51" s="220">
        <f t="shared" si="9"/>
        <v>14550000</v>
      </c>
      <c r="J51" s="218">
        <f t="shared" si="9"/>
        <v>9300000</v>
      </c>
      <c r="K51" s="219">
        <f t="shared" si="9"/>
        <v>2800000</v>
      </c>
      <c r="L51" s="370"/>
    </row>
    <row r="52" spans="1:12" ht="11.25" customHeight="1" x14ac:dyDescent="0.25">
      <c r="A52" s="254" t="s">
        <v>630</v>
      </c>
      <c r="B52" s="182"/>
      <c r="C52" s="1619"/>
      <c r="D52" s="1619"/>
      <c r="E52" s="1888"/>
      <c r="F52" s="1957"/>
      <c r="G52" s="1619"/>
      <c r="H52" s="1977"/>
      <c r="I52" s="1957"/>
      <c r="J52" s="1619"/>
      <c r="K52" s="1888"/>
      <c r="L52" s="1557"/>
    </row>
    <row r="53" spans="1:12" ht="11.25" customHeight="1" x14ac:dyDescent="0.25">
      <c r="A53" s="254" t="s">
        <v>32</v>
      </c>
      <c r="B53" s="182">
        <v>10</v>
      </c>
      <c r="C53" s="1063">
        <f>C79</f>
        <v>0</v>
      </c>
      <c r="D53" s="1063">
        <f t="shared" ref="D53:K53" si="10">D79</f>
        <v>0</v>
      </c>
      <c r="E53" s="1064">
        <f t="shared" si="10"/>
        <v>0</v>
      </c>
      <c r="F53" s="1065">
        <f t="shared" si="10"/>
        <v>0</v>
      </c>
      <c r="G53" s="1063">
        <f t="shared" si="10"/>
        <v>0</v>
      </c>
      <c r="H53" s="1066">
        <f t="shared" si="10"/>
        <v>0</v>
      </c>
      <c r="I53" s="1065">
        <f t="shared" si="10"/>
        <v>0</v>
      </c>
      <c r="J53" s="1063">
        <f t="shared" si="10"/>
        <v>0</v>
      </c>
      <c r="K53" s="1064">
        <f t="shared" si="10"/>
        <v>0</v>
      </c>
      <c r="L53" s="370"/>
    </row>
    <row r="54" spans="1:12" ht="11.25" customHeight="1" x14ac:dyDescent="0.25">
      <c r="A54" s="254" t="s">
        <v>1241</v>
      </c>
      <c r="B54" s="182"/>
      <c r="C54" s="1614"/>
      <c r="D54" s="1614"/>
      <c r="E54" s="1634"/>
      <c r="F54" s="1635"/>
      <c r="G54" s="1053"/>
      <c r="H54" s="1053"/>
      <c r="I54" s="1614"/>
      <c r="J54" s="1634"/>
      <c r="K54" s="1634"/>
      <c r="L54" s="1557"/>
    </row>
    <row r="55" spans="1:12" ht="11.25" customHeight="1" x14ac:dyDescent="0.25">
      <c r="A55" s="254" t="s">
        <v>631</v>
      </c>
      <c r="B55" s="182"/>
      <c r="C55" s="1614"/>
      <c r="D55" s="1614">
        <v>316937.5</v>
      </c>
      <c r="E55" s="1634"/>
      <c r="F55" s="1635"/>
      <c r="G55" s="1053"/>
      <c r="H55" s="1053"/>
      <c r="I55" s="1614">
        <v>2500000</v>
      </c>
      <c r="J55" s="1634">
        <v>5000000</v>
      </c>
      <c r="K55" s="1634">
        <v>2800000</v>
      </c>
      <c r="L55" s="1557"/>
    </row>
    <row r="56" spans="1:12" ht="11.25" customHeight="1" x14ac:dyDescent="0.25">
      <c r="A56" s="254" t="s">
        <v>632</v>
      </c>
      <c r="B56" s="182"/>
      <c r="C56" s="1614"/>
      <c r="D56" s="1614"/>
      <c r="E56" s="1634"/>
      <c r="F56" s="1635"/>
      <c r="G56" s="1053"/>
      <c r="H56" s="1053"/>
      <c r="I56" s="1614"/>
      <c r="J56" s="1634"/>
      <c r="K56" s="1634"/>
      <c r="L56" s="1557"/>
    </row>
    <row r="57" spans="1:12" ht="11.25" customHeight="1" x14ac:dyDescent="0.25">
      <c r="A57" s="254" t="s">
        <v>1242</v>
      </c>
      <c r="B57" s="182"/>
      <c r="C57" s="1614"/>
      <c r="D57" s="1614"/>
      <c r="E57" s="1634"/>
      <c r="F57" s="1635"/>
      <c r="G57" s="1053"/>
      <c r="H57" s="1053"/>
      <c r="I57" s="1614"/>
      <c r="J57" s="1634"/>
      <c r="K57" s="1634"/>
      <c r="L57" s="1557"/>
    </row>
    <row r="58" spans="1:12" ht="11.25" customHeight="1" x14ac:dyDescent="0.25">
      <c r="A58" s="254" t="s">
        <v>1243</v>
      </c>
      <c r="B58" s="182"/>
      <c r="C58" s="1614"/>
      <c r="D58" s="1614"/>
      <c r="E58" s="1634"/>
      <c r="F58" s="1635"/>
      <c r="G58" s="1053"/>
      <c r="H58" s="1053"/>
      <c r="I58" s="1614"/>
      <c r="J58" s="1634"/>
      <c r="K58" s="1634"/>
      <c r="L58" s="1556"/>
    </row>
    <row r="59" spans="1:12" ht="11.25" customHeight="1" x14ac:dyDescent="0.25">
      <c r="A59" s="254" t="s">
        <v>1513</v>
      </c>
      <c r="B59" s="182"/>
      <c r="C59" s="1614"/>
      <c r="D59" s="1614">
        <v>3281905</v>
      </c>
      <c r="E59" s="1634"/>
      <c r="F59" s="1635">
        <v>1045810</v>
      </c>
      <c r="G59" s="1053">
        <f>F59</f>
        <v>1045810</v>
      </c>
      <c r="H59" s="1053">
        <f>G59</f>
        <v>1045810</v>
      </c>
      <c r="I59" s="1614">
        <f>5550000+2500000</f>
        <v>8050000</v>
      </c>
      <c r="J59" s="1634"/>
      <c r="K59" s="1634"/>
      <c r="L59" s="1557"/>
    </row>
    <row r="60" spans="1:12" ht="11.25" customHeight="1" x14ac:dyDescent="0.25">
      <c r="A60" s="254" t="s">
        <v>322</v>
      </c>
      <c r="B60" s="182"/>
      <c r="C60" s="1614"/>
      <c r="D60" s="1614"/>
      <c r="E60" s="1634"/>
      <c r="F60" s="1635">
        <v>19315000</v>
      </c>
      <c r="G60" s="1053">
        <f>-1960000+F60</f>
        <v>17355000</v>
      </c>
      <c r="H60" s="1053">
        <f>G60</f>
        <v>17355000</v>
      </c>
      <c r="I60" s="1614">
        <v>4000000</v>
      </c>
      <c r="J60" s="1634">
        <v>4300000</v>
      </c>
      <c r="K60" s="1634"/>
      <c r="L60" s="1557"/>
    </row>
    <row r="61" spans="1:12" ht="11.25" customHeight="1" x14ac:dyDescent="0.25">
      <c r="A61" s="254" t="s">
        <v>321</v>
      </c>
      <c r="B61" s="182"/>
      <c r="C61" s="1614"/>
      <c r="D61" s="1614"/>
      <c r="E61" s="1634"/>
      <c r="F61" s="1635"/>
      <c r="G61" s="1053"/>
      <c r="H61" s="1053"/>
      <c r="I61" s="1614"/>
      <c r="J61" s="1634"/>
      <c r="K61" s="1634"/>
      <c r="L61" s="1557"/>
    </row>
    <row r="62" spans="1:12" ht="11.25" customHeight="1" x14ac:dyDescent="0.25">
      <c r="A62" s="254" t="s">
        <v>633</v>
      </c>
      <c r="B62" s="182"/>
      <c r="C62" s="1614"/>
      <c r="D62" s="1614"/>
      <c r="E62" s="1634"/>
      <c r="F62" s="1635"/>
      <c r="G62" s="1053"/>
      <c r="H62" s="1053"/>
      <c r="I62" s="1614"/>
      <c r="J62" s="1634"/>
      <c r="K62" s="1634"/>
      <c r="L62" s="1557"/>
    </row>
    <row r="63" spans="1:12" ht="11.25" customHeight="1" x14ac:dyDescent="0.25">
      <c r="A63" s="250" t="s">
        <v>292</v>
      </c>
      <c r="B63" s="182"/>
      <c r="C63" s="1656"/>
      <c r="D63" s="1656">
        <v>11183504.789999999</v>
      </c>
      <c r="E63" s="1657"/>
      <c r="F63" s="1658">
        <v>4500000</v>
      </c>
      <c r="G63" s="1053">
        <f>F63</f>
        <v>4500000</v>
      </c>
      <c r="H63" s="1053">
        <f>G63</f>
        <v>4500000</v>
      </c>
      <c r="I63" s="1656"/>
      <c r="J63" s="1657"/>
      <c r="K63" s="1657"/>
      <c r="L63" s="1557"/>
    </row>
    <row r="64" spans="1:12" ht="5.15" customHeight="1" x14ac:dyDescent="0.25">
      <c r="A64" s="844"/>
      <c r="B64" s="182"/>
      <c r="C64" s="203"/>
      <c r="D64" s="203"/>
      <c r="E64" s="204"/>
      <c r="F64" s="205"/>
      <c r="G64" s="203"/>
      <c r="H64" s="202"/>
      <c r="I64" s="205"/>
      <c r="J64" s="203"/>
      <c r="K64" s="204"/>
      <c r="L64" s="370"/>
    </row>
    <row r="65" spans="1:12" ht="13.5" customHeight="1" x14ac:dyDescent="0.25">
      <c r="A65" s="249" t="s">
        <v>1528</v>
      </c>
      <c r="B65" s="182"/>
      <c r="C65" s="203">
        <f>SUM(C66:C67)</f>
        <v>0</v>
      </c>
      <c r="D65" s="203">
        <f t="shared" ref="D65:K65" si="11">SUM(D66:D67)</f>
        <v>0</v>
      </c>
      <c r="E65" s="204">
        <f t="shared" si="11"/>
        <v>0</v>
      </c>
      <c r="F65" s="205">
        <f t="shared" si="11"/>
        <v>0</v>
      </c>
      <c r="G65" s="203">
        <f t="shared" si="11"/>
        <v>0</v>
      </c>
      <c r="H65" s="202">
        <f t="shared" si="11"/>
        <v>0</v>
      </c>
      <c r="I65" s="205">
        <f t="shared" si="11"/>
        <v>0</v>
      </c>
      <c r="J65" s="203">
        <f t="shared" si="11"/>
        <v>0</v>
      </c>
      <c r="K65" s="204">
        <f t="shared" si="11"/>
        <v>0</v>
      </c>
      <c r="L65" s="370"/>
    </row>
    <row r="66" spans="1:12" ht="11.25" customHeight="1" x14ac:dyDescent="0.25">
      <c r="A66" s="1938" t="s">
        <v>1254</v>
      </c>
      <c r="B66" s="182"/>
      <c r="C66" s="1619"/>
      <c r="D66" s="1619"/>
      <c r="E66" s="1888"/>
      <c r="F66" s="1957"/>
      <c r="G66" s="1619"/>
      <c r="H66" s="1977"/>
      <c r="I66" s="1957"/>
      <c r="J66" s="1619"/>
      <c r="K66" s="1888"/>
      <c r="L66" s="370"/>
    </row>
    <row r="67" spans="1:12" ht="11.25" customHeight="1" x14ac:dyDescent="0.25">
      <c r="A67" s="1938"/>
      <c r="B67" s="182"/>
      <c r="C67" s="1656"/>
      <c r="D67" s="1656"/>
      <c r="E67" s="1657"/>
      <c r="F67" s="1658"/>
      <c r="G67" s="1656"/>
      <c r="H67" s="1659"/>
      <c r="I67" s="1658"/>
      <c r="J67" s="1656"/>
      <c r="K67" s="1657"/>
      <c r="L67" s="370"/>
    </row>
    <row r="68" spans="1:12" ht="5.15" customHeight="1" x14ac:dyDescent="0.25">
      <c r="A68" s="844"/>
      <c r="B68" s="182"/>
      <c r="C68" s="203"/>
      <c r="D68" s="203"/>
      <c r="E68" s="204"/>
      <c r="F68" s="205"/>
      <c r="G68" s="203"/>
      <c r="H68" s="202"/>
      <c r="I68" s="205"/>
      <c r="J68" s="203"/>
      <c r="K68" s="204"/>
      <c r="L68" s="370"/>
    </row>
    <row r="69" spans="1:12" ht="13.5" customHeight="1" x14ac:dyDescent="0.25">
      <c r="A69" s="249" t="s">
        <v>136</v>
      </c>
      <c r="B69" s="182"/>
      <c r="C69" s="203">
        <f>SUM(C70:C71)</f>
        <v>0</v>
      </c>
      <c r="D69" s="203">
        <f t="shared" ref="D69:K69" si="12">SUM(D70:D71)</f>
        <v>0</v>
      </c>
      <c r="E69" s="204">
        <f t="shared" si="12"/>
        <v>0</v>
      </c>
      <c r="F69" s="205">
        <f t="shared" si="12"/>
        <v>0</v>
      </c>
      <c r="G69" s="203">
        <f t="shared" si="12"/>
        <v>0</v>
      </c>
      <c r="H69" s="202">
        <f t="shared" si="12"/>
        <v>0</v>
      </c>
      <c r="I69" s="205">
        <f t="shared" si="12"/>
        <v>0</v>
      </c>
      <c r="J69" s="203">
        <f t="shared" si="12"/>
        <v>0</v>
      </c>
      <c r="K69" s="204">
        <f t="shared" si="12"/>
        <v>0</v>
      </c>
      <c r="L69" s="370"/>
    </row>
    <row r="70" spans="1:12" ht="11.25" customHeight="1" x14ac:dyDescent="0.25">
      <c r="A70" s="1938" t="s">
        <v>1254</v>
      </c>
      <c r="B70" s="182"/>
      <c r="C70" s="1619"/>
      <c r="D70" s="1619"/>
      <c r="E70" s="1888"/>
      <c r="F70" s="1957"/>
      <c r="G70" s="1619"/>
      <c r="H70" s="1977"/>
      <c r="I70" s="1957"/>
      <c r="J70" s="1619"/>
      <c r="K70" s="1888"/>
      <c r="L70" s="370"/>
    </row>
    <row r="71" spans="1:12" ht="11.25" customHeight="1" x14ac:dyDescent="0.25">
      <c r="A71" s="1938"/>
      <c r="B71" s="182"/>
      <c r="C71" s="1656"/>
      <c r="D71" s="1656"/>
      <c r="E71" s="1657"/>
      <c r="F71" s="1658"/>
      <c r="G71" s="1656"/>
      <c r="H71" s="1659"/>
      <c r="I71" s="1658"/>
      <c r="J71" s="1656"/>
      <c r="K71" s="1657"/>
      <c r="L71" s="370"/>
    </row>
    <row r="72" spans="1:12" ht="5.15" customHeight="1" x14ac:dyDescent="0.25">
      <c r="A72" s="273"/>
      <c r="B72" s="182"/>
      <c r="C72" s="203"/>
      <c r="D72" s="203"/>
      <c r="E72" s="204"/>
      <c r="F72" s="205"/>
      <c r="G72" s="203"/>
      <c r="H72" s="202"/>
      <c r="I72" s="205"/>
      <c r="J72" s="203"/>
      <c r="K72" s="204"/>
      <c r="L72" s="370"/>
    </row>
    <row r="73" spans="1:12" ht="17.25" customHeight="1" x14ac:dyDescent="0.25">
      <c r="A73" s="249" t="s">
        <v>882</v>
      </c>
      <c r="B73" s="182"/>
      <c r="C73" s="203">
        <f>SUM(C74:C75)</f>
        <v>0</v>
      </c>
      <c r="D73" s="203">
        <f t="shared" ref="D73:K73" si="13">SUM(D74:D75)</f>
        <v>0</v>
      </c>
      <c r="E73" s="204">
        <f t="shared" si="13"/>
        <v>0</v>
      </c>
      <c r="F73" s="205">
        <f t="shared" si="13"/>
        <v>0</v>
      </c>
      <c r="G73" s="203">
        <f t="shared" si="13"/>
        <v>0</v>
      </c>
      <c r="H73" s="202">
        <f t="shared" si="13"/>
        <v>0</v>
      </c>
      <c r="I73" s="205">
        <f t="shared" si="13"/>
        <v>0</v>
      </c>
      <c r="J73" s="203">
        <f t="shared" si="13"/>
        <v>0</v>
      </c>
      <c r="K73" s="204">
        <f t="shared" si="13"/>
        <v>0</v>
      </c>
      <c r="L73" s="370"/>
    </row>
    <row r="74" spans="1:12" ht="11.25" customHeight="1" x14ac:dyDescent="0.25">
      <c r="A74" s="254" t="s">
        <v>970</v>
      </c>
      <c r="B74" s="182"/>
      <c r="C74" s="1619"/>
      <c r="D74" s="1619"/>
      <c r="E74" s="1888"/>
      <c r="F74" s="1957"/>
      <c r="G74" s="1619"/>
      <c r="H74" s="1977"/>
      <c r="I74" s="1957"/>
      <c r="J74" s="1619"/>
      <c r="K74" s="1888"/>
      <c r="L74" s="370"/>
    </row>
    <row r="75" spans="1:12" ht="11.25" customHeight="1" x14ac:dyDescent="0.25">
      <c r="A75" s="1913" t="s">
        <v>614</v>
      </c>
      <c r="B75" s="182"/>
      <c r="C75" s="1656"/>
      <c r="D75" s="1656"/>
      <c r="E75" s="1657"/>
      <c r="F75" s="1658"/>
      <c r="G75" s="1656"/>
      <c r="H75" s="1659"/>
      <c r="I75" s="1658"/>
      <c r="J75" s="1656"/>
      <c r="K75" s="1657"/>
      <c r="L75" s="370"/>
    </row>
    <row r="76" spans="1:12" ht="5.15" customHeight="1" x14ac:dyDescent="0.25">
      <c r="A76" s="273"/>
      <c r="B76" s="182"/>
      <c r="C76" s="218"/>
      <c r="D76" s="218"/>
      <c r="E76" s="219"/>
      <c r="F76" s="220"/>
      <c r="G76" s="218"/>
      <c r="H76" s="217"/>
      <c r="I76" s="220"/>
      <c r="J76" s="218"/>
      <c r="K76" s="219"/>
      <c r="L76" s="370"/>
    </row>
    <row r="77" spans="1:12" x14ac:dyDescent="0.25">
      <c r="A77" s="281" t="s">
        <v>1227</v>
      </c>
      <c r="B77" s="225">
        <v>1</v>
      </c>
      <c r="C77" s="230">
        <f t="shared" ref="C77:K77" si="14">C6+C27+C43+C47+C51+C73+C65+C69</f>
        <v>95810000</v>
      </c>
      <c r="D77" s="230">
        <f t="shared" si="14"/>
        <v>88821854.060000002</v>
      </c>
      <c r="E77" s="228">
        <f t="shared" si="14"/>
        <v>0</v>
      </c>
      <c r="F77" s="229">
        <f t="shared" si="14"/>
        <v>119911590</v>
      </c>
      <c r="G77" s="230">
        <f t="shared" si="14"/>
        <v>174102674</v>
      </c>
      <c r="H77" s="231">
        <f t="shared" si="14"/>
        <v>174102674</v>
      </c>
      <c r="I77" s="229">
        <f t="shared" si="14"/>
        <v>287608405</v>
      </c>
      <c r="J77" s="230">
        <f t="shared" si="14"/>
        <v>187929000</v>
      </c>
      <c r="K77" s="228">
        <f t="shared" si="14"/>
        <v>190400000</v>
      </c>
      <c r="L77" s="370"/>
    </row>
    <row r="78" spans="1:12" x14ac:dyDescent="0.25">
      <c r="A78" s="1559"/>
      <c r="B78" s="652"/>
      <c r="C78" s="217"/>
      <c r="D78" s="217"/>
      <c r="E78" s="217"/>
      <c r="F78" s="217"/>
      <c r="G78" s="217"/>
      <c r="H78" s="217"/>
      <c r="I78" s="217"/>
      <c r="J78" s="217"/>
      <c r="K78" s="217"/>
      <c r="L78" s="370"/>
    </row>
    <row r="79" spans="1:12" x14ac:dyDescent="0.25">
      <c r="A79" s="1560" t="s">
        <v>32</v>
      </c>
      <c r="B79" s="2443"/>
      <c r="C79" s="1301">
        <f t="shared" ref="C79:K79" si="15">SUM(C80:C83)</f>
        <v>0</v>
      </c>
      <c r="D79" s="1297">
        <f t="shared" si="15"/>
        <v>0</v>
      </c>
      <c r="E79" s="1562">
        <f t="shared" si="15"/>
        <v>0</v>
      </c>
      <c r="F79" s="1301">
        <f t="shared" si="15"/>
        <v>0</v>
      </c>
      <c r="G79" s="1297">
        <f t="shared" si="15"/>
        <v>0</v>
      </c>
      <c r="H79" s="1562">
        <f t="shared" si="15"/>
        <v>0</v>
      </c>
      <c r="I79" s="1301">
        <f t="shared" si="15"/>
        <v>0</v>
      </c>
      <c r="J79" s="1297">
        <f t="shared" si="15"/>
        <v>0</v>
      </c>
      <c r="K79" s="1562">
        <f t="shared" si="15"/>
        <v>0</v>
      </c>
      <c r="L79" s="370"/>
    </row>
    <row r="80" spans="1:12" x14ac:dyDescent="0.25">
      <c r="A80" s="190" t="s">
        <v>1287</v>
      </c>
      <c r="B80" s="2444"/>
      <c r="C80" s="1616"/>
      <c r="D80" s="1614"/>
      <c r="E80" s="1617"/>
      <c r="F80" s="1616"/>
      <c r="G80" s="1614"/>
      <c r="H80" s="1617"/>
      <c r="I80" s="1616"/>
      <c r="J80" s="1614"/>
      <c r="K80" s="1617"/>
      <c r="L80" s="370"/>
    </row>
    <row r="81" spans="1:12" x14ac:dyDescent="0.25">
      <c r="A81" s="190" t="s">
        <v>1514</v>
      </c>
      <c r="B81" s="2444"/>
      <c r="C81" s="1616"/>
      <c r="D81" s="1614"/>
      <c r="E81" s="1617"/>
      <c r="F81" s="1616"/>
      <c r="G81" s="1614"/>
      <c r="H81" s="1617"/>
      <c r="I81" s="1616"/>
      <c r="J81" s="1614"/>
      <c r="K81" s="1617"/>
      <c r="L81" s="370"/>
    </row>
    <row r="82" spans="1:12" x14ac:dyDescent="0.25">
      <c r="A82" s="190" t="s">
        <v>1712</v>
      </c>
      <c r="B82" s="2444"/>
      <c r="C82" s="1616"/>
      <c r="D82" s="1614"/>
      <c r="E82" s="1617"/>
      <c r="F82" s="1616"/>
      <c r="G82" s="1614"/>
      <c r="H82" s="1617"/>
      <c r="I82" s="1616"/>
      <c r="J82" s="1614"/>
      <c r="K82" s="1617"/>
      <c r="L82" s="370"/>
    </row>
    <row r="83" spans="1:12" x14ac:dyDescent="0.25">
      <c r="A83" s="1314" t="s">
        <v>1713</v>
      </c>
      <c r="B83" s="2445"/>
      <c r="C83" s="1695"/>
      <c r="D83" s="1691"/>
      <c r="E83" s="1984"/>
      <c r="F83" s="1695"/>
      <c r="G83" s="1691"/>
      <c r="H83" s="1984"/>
      <c r="I83" s="1695"/>
      <c r="J83" s="1691"/>
      <c r="K83" s="1984"/>
      <c r="L83" s="370"/>
    </row>
    <row r="84" spans="1:12" s="360" customFormat="1" ht="3.75" customHeight="1" x14ac:dyDescent="0.25">
      <c r="A84" s="325"/>
      <c r="B84" s="430"/>
      <c r="C84" s="1332"/>
      <c r="D84" s="1332"/>
      <c r="E84" s="1332"/>
      <c r="F84" s="1332"/>
      <c r="G84" s="1332"/>
      <c r="H84" s="1332"/>
      <c r="I84" s="1332"/>
      <c r="J84" s="1332"/>
      <c r="K84" s="1332"/>
    </row>
    <row r="85" spans="1:12" s="709" customFormat="1" x14ac:dyDescent="0.25">
      <c r="A85" s="2448" t="s">
        <v>1952</v>
      </c>
      <c r="B85" s="2449"/>
      <c r="C85" s="2450">
        <f>IF(ISERROR(C77/'A9-Asset'!C49),0,(C77/'A9-Asset'!C49))</f>
        <v>0.35244592542934322</v>
      </c>
      <c r="D85" s="2450">
        <f>IF(ISERROR(D77/'A9-Asset'!D49),0,(D77/'A9-Asset'!D49))</f>
        <v>0.79912596514242307</v>
      </c>
      <c r="E85" s="2451">
        <f>IF(ISERROR(E77/'A9-Asset'!E49),0,(E77/'A9-Asset'!E49))</f>
        <v>0</v>
      </c>
      <c r="F85" s="2452">
        <f>IF(ISERROR(F77/'A9-Asset'!F49),0,(F77/'A9-Asset'!F49))</f>
        <v>0.52132300642569585</v>
      </c>
      <c r="G85" s="2450">
        <f>IF(ISERROR(G77/'A9-Asset'!G49),0,(G77/'A9-Asset'!G49))</f>
        <v>0.56206438137145154</v>
      </c>
      <c r="H85" s="2453">
        <f>IF(ISERROR(H77/'A9-Asset'!H49),0,(H77/'A9-Asset'!H49))</f>
        <v>0.56206438137145154</v>
      </c>
      <c r="I85" s="2454">
        <f>IF(ISERROR(I77/'A9-Asset'!I49),0,(I77/'A9-Asset'!I49))</f>
        <v>0.60465325951719495</v>
      </c>
      <c r="J85" s="2450">
        <f>IF(ISERROR(J77/'A9-Asset'!J49),0,(J77/'A9-Asset'!J49))</f>
        <v>0.7390893967459915</v>
      </c>
      <c r="K85" s="2451">
        <f>IF(ISERROR(K77/'A9-Asset'!K49),0,(K77/'A9-Asset'!K49))</f>
        <v>0.78551095342217092</v>
      </c>
      <c r="L85" s="1558"/>
    </row>
    <row r="86" spans="1:12" s="709" customFormat="1" ht="11.25" customHeight="1" x14ac:dyDescent="0.25">
      <c r="A86" s="2436" t="s">
        <v>1422</v>
      </c>
      <c r="B86" s="2437"/>
      <c r="C86" s="2438">
        <f>IF(ISERROR(C77/'A9-Asset'!C68),0,(C77/'A9-Asset'!C68))</f>
        <v>0.77224675573745649</v>
      </c>
      <c r="D86" s="2438">
        <f>IF(ISERROR(D77/'A9-Asset'!D68),0,(D77/'A9-Asset'!D68))</f>
        <v>0.35036363139850407</v>
      </c>
      <c r="E86" s="2439">
        <f>IF(ISERROR(E77/'A9-Asset'!E68),0,(E77/'A9-Asset'!E68))</f>
        <v>0</v>
      </c>
      <c r="F86" s="2440">
        <f>IF(ISERROR(F77/'A9-Asset'!F68),0,(F77/'A9-Asset'!F68))</f>
        <v>0.75893411392405064</v>
      </c>
      <c r="G86" s="2438">
        <f>IF(ISERROR(G77/'A9-Asset'!G68),0,(G77/'A9-Asset'!G68))</f>
        <v>1.1019156582278482</v>
      </c>
      <c r="H86" s="2441">
        <f>IF(ISERROR(H77/'A9-Asset'!H68),0,(H77/'A9-Asset'!H68))</f>
        <v>1.1019156582278482</v>
      </c>
      <c r="I86" s="2442">
        <f>IF(ISERROR(I77/'A9-Asset'!I68),0,(I77/'A9-Asset'!I68))</f>
        <v>1.516921967299578</v>
      </c>
      <c r="J86" s="2438">
        <f>IF(ISERROR(J77/'A9-Asset'!J68),0,(J77/'A9-Asset'!J68))</f>
        <v>0.82598892405063296</v>
      </c>
      <c r="K86" s="2439">
        <f>IF(ISERROR(K77/'A9-Asset'!K68),0,(K77/'A9-Asset'!K68))</f>
        <v>0.69737458977965305</v>
      </c>
      <c r="L86" s="1086"/>
    </row>
    <row r="87" spans="1:12" s="709" customFormat="1" ht="11.25" customHeight="1" x14ac:dyDescent="0.25">
      <c r="A87" s="1261" t="str">
        <f>head27a</f>
        <v>References</v>
      </c>
      <c r="B87" s="1038"/>
      <c r="C87" s="1042"/>
      <c r="D87" s="1042"/>
      <c r="E87" s="1042"/>
      <c r="F87" s="1042"/>
      <c r="G87" s="1042"/>
      <c r="H87" s="1042"/>
      <c r="I87" s="1042"/>
      <c r="J87" s="1042"/>
      <c r="K87" s="1042"/>
    </row>
    <row r="88" spans="1:12" s="709" customFormat="1" ht="11.25" customHeight="1" x14ac:dyDescent="0.25">
      <c r="A88" s="1262" t="s">
        <v>1228</v>
      </c>
      <c r="B88" s="1038"/>
      <c r="C88" s="1041"/>
      <c r="D88" s="1041"/>
      <c r="E88" s="1042"/>
      <c r="F88" s="1042"/>
      <c r="G88" s="1042"/>
      <c r="H88" s="1042"/>
      <c r="I88" s="1042"/>
      <c r="J88" s="1042"/>
      <c r="K88" s="1042"/>
    </row>
    <row r="89" spans="1:12" s="709" customFormat="1" ht="11.25" customHeight="1" x14ac:dyDescent="0.25">
      <c r="A89" s="1262" t="s">
        <v>319</v>
      </c>
      <c r="B89" s="1038"/>
      <c r="C89" s="1041"/>
      <c r="D89" s="1041"/>
      <c r="E89" s="1042"/>
      <c r="F89" s="1042"/>
      <c r="G89" s="1042"/>
      <c r="H89" s="1042"/>
      <c r="I89" s="1042"/>
      <c r="J89" s="1042"/>
      <c r="K89" s="1042"/>
    </row>
    <row r="90" spans="1:12" s="709" customFormat="1" ht="11.25" customHeight="1" x14ac:dyDescent="0.25">
      <c r="A90" s="1262" t="s">
        <v>912</v>
      </c>
      <c r="B90" s="1038"/>
      <c r="C90" s="1041"/>
      <c r="D90" s="1041"/>
      <c r="E90" s="1042"/>
      <c r="F90" s="1042"/>
      <c r="G90" s="1042"/>
      <c r="H90" s="1042"/>
      <c r="I90" s="1042"/>
      <c r="J90" s="1042"/>
      <c r="K90" s="1042"/>
    </row>
    <row r="91" spans="1:12" s="709" customFormat="1" ht="11.25" customHeight="1" x14ac:dyDescent="0.25">
      <c r="A91" s="1262" t="s">
        <v>323</v>
      </c>
      <c r="B91" s="1038"/>
      <c r="C91" s="1041"/>
      <c r="D91" s="1041"/>
      <c r="E91" s="1042"/>
      <c r="F91" s="1042"/>
      <c r="G91" s="1042"/>
      <c r="H91" s="1042"/>
      <c r="I91" s="1042"/>
      <c r="J91" s="1042"/>
      <c r="K91" s="1042"/>
    </row>
    <row r="92" spans="1:12" s="709" customFormat="1" ht="11.25" customHeight="1" x14ac:dyDescent="0.25">
      <c r="A92" s="1262" t="s">
        <v>133</v>
      </c>
      <c r="B92" s="1038"/>
      <c r="C92" s="1041"/>
      <c r="D92" s="1041"/>
      <c r="E92" s="1042"/>
      <c r="F92" s="1042"/>
      <c r="G92" s="1042"/>
      <c r="H92" s="1042"/>
      <c r="I92" s="1042"/>
      <c r="J92" s="1042"/>
      <c r="K92" s="1042"/>
    </row>
    <row r="93" spans="1:12" s="709" customFormat="1" ht="11.25" customHeight="1" x14ac:dyDescent="0.25">
      <c r="A93" s="1262" t="s">
        <v>1653</v>
      </c>
      <c r="B93" s="1038"/>
      <c r="C93" s="1041"/>
      <c r="D93" s="1041"/>
      <c r="E93" s="1042"/>
      <c r="F93" s="1042"/>
      <c r="G93" s="1042"/>
      <c r="H93" s="1042"/>
      <c r="I93" s="1042"/>
      <c r="J93" s="1042"/>
      <c r="K93" s="1042"/>
    </row>
    <row r="94" spans="1:12" s="709" customFormat="1" ht="11.25" customHeight="1" x14ac:dyDescent="0.25">
      <c r="A94" s="1515" t="s">
        <v>33</v>
      </c>
      <c r="B94" s="1038"/>
      <c r="C94" s="1041"/>
      <c r="D94" s="1041"/>
      <c r="E94" s="1042"/>
      <c r="F94" s="1042"/>
      <c r="G94" s="1042"/>
      <c r="H94" s="1042"/>
      <c r="I94" s="1042"/>
      <c r="J94" s="1042"/>
      <c r="K94" s="1042"/>
    </row>
    <row r="95" spans="1:12" s="709" customFormat="1" ht="11.25" customHeight="1" x14ac:dyDescent="0.25">
      <c r="A95" s="1515" t="s">
        <v>1332</v>
      </c>
      <c r="B95" s="1038"/>
      <c r="C95" s="1041"/>
      <c r="D95" s="1041"/>
      <c r="E95" s="1042"/>
      <c r="F95" s="1042"/>
      <c r="G95" s="1042"/>
      <c r="H95" s="1042"/>
      <c r="I95" s="1042"/>
      <c r="J95" s="1042"/>
      <c r="K95" s="1042"/>
    </row>
    <row r="96" spans="1:12" s="709" customFormat="1" ht="11.25" customHeight="1" x14ac:dyDescent="0.25">
      <c r="A96" s="1515" t="s">
        <v>1333</v>
      </c>
      <c r="B96" s="1038"/>
      <c r="C96" s="1041"/>
      <c r="D96" s="1041"/>
      <c r="E96" s="1042"/>
      <c r="F96" s="1042"/>
      <c r="G96" s="1042"/>
      <c r="H96" s="1042"/>
      <c r="I96" s="1042"/>
      <c r="J96" s="1042"/>
      <c r="K96" s="1042"/>
    </row>
    <row r="97" spans="1:11" ht="11.25" customHeight="1" x14ac:dyDescent="0.25">
      <c r="A97" s="1515" t="s">
        <v>386</v>
      </c>
      <c r="B97" s="1038"/>
      <c r="C97" s="1041"/>
      <c r="D97" s="1041"/>
      <c r="E97" s="1042"/>
      <c r="F97" s="1042"/>
      <c r="G97" s="1042"/>
      <c r="H97" s="1042"/>
      <c r="I97" s="1042"/>
      <c r="J97" s="1042"/>
      <c r="K97" s="1042"/>
    </row>
    <row r="98" spans="1:11" ht="11.25" customHeight="1" x14ac:dyDescent="0.25">
      <c r="A98" s="1059"/>
      <c r="B98" s="1038"/>
      <c r="C98" s="1041"/>
      <c r="D98" s="1041"/>
      <c r="E98" s="1042"/>
      <c r="F98" s="1042"/>
      <c r="G98" s="1042"/>
      <c r="H98" s="1042"/>
      <c r="I98" s="1042"/>
      <c r="J98" s="1042"/>
      <c r="K98" s="1042"/>
    </row>
    <row r="99" spans="1:11" ht="11.25" customHeight="1" x14ac:dyDescent="0.25">
      <c r="A99" s="246"/>
      <c r="B99" s="236"/>
      <c r="C99" s="240"/>
      <c r="D99" s="240"/>
      <c r="E99" s="241"/>
      <c r="F99" s="241"/>
      <c r="G99" s="241"/>
      <c r="H99" s="241"/>
      <c r="I99" s="241"/>
      <c r="J99" s="241"/>
      <c r="K99" s="241"/>
    </row>
    <row r="100" spans="1:11" ht="11.25" customHeight="1" x14ac:dyDescent="0.25">
      <c r="A100" s="288" t="s">
        <v>295</v>
      </c>
      <c r="B100" s="243"/>
      <c r="C100" s="447">
        <f>SUM(C77+SA34a!C77)-'A5-Capex'!C40</f>
        <v>95809628</v>
      </c>
      <c r="D100" s="447">
        <f>SUM(D77+SA34a!D77)-'A5-Capex'!D40</f>
        <v>-0.84999999403953552</v>
      </c>
      <c r="E100" s="447">
        <f>SUM(E77+SA34a!E77)-'A5-Capex'!E40</f>
        <v>-223563286.09999996</v>
      </c>
      <c r="F100" s="447">
        <f>SUM(F77+SA34a!F77)-'A5-Capex'!F40</f>
        <v>0</v>
      </c>
      <c r="G100" s="447">
        <f>SUM(G77+SA34a!G77)-'A5-Capex'!G40</f>
        <v>0</v>
      </c>
      <c r="H100" s="447">
        <f>SUM(H77+SA34a!H77)-'A5-Capex'!H40</f>
        <v>0</v>
      </c>
      <c r="I100" s="447">
        <f>SUM(I77+SA34a!I77)-'A5-Capex'!J40</f>
        <v>-103</v>
      </c>
      <c r="J100" s="447">
        <f>SUM(J77+SA34a!J77)-'A5-Capex'!K40</f>
        <v>0</v>
      </c>
      <c r="K100" s="447">
        <f>SUM(K77+SA34a!K77)-'A5-Capex'!L40</f>
        <v>0</v>
      </c>
    </row>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sheetData>
  <sheetProtection sheet="1" objects="1" scenarios="1"/>
  <mergeCells count="2">
    <mergeCell ref="F2:H2"/>
    <mergeCell ref="I2:K2"/>
  </mergeCells>
  <phoneticPr fontId="2"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enableFormatConditionsCalculation="0">
    <tabColor indexed="42"/>
  </sheetPr>
  <dimension ref="A1:O135"/>
  <sheetViews>
    <sheetView showGridLines="0" zoomScaleNormal="100" workbookViewId="0">
      <pane xSplit="2" ySplit="3" topLeftCell="C82" activePane="bottomRight" state="frozen"/>
      <selection pane="topRight"/>
      <selection pane="bottomLeft"/>
      <selection pane="bottomRight" activeCell="A82" sqref="A82:IV82"/>
    </sheetView>
  </sheetViews>
  <sheetFormatPr defaultColWidth="9.1796875" defaultRowHeight="10.5" x14ac:dyDescent="0.25"/>
  <cols>
    <col min="1" max="1" width="30.7265625" style="149" customWidth="1"/>
    <col min="2" max="2" width="3" style="247" customWidth="1"/>
    <col min="3" max="11" width="9.26953125" style="149" customWidth="1"/>
    <col min="12" max="12" width="9.7265625" style="149" customWidth="1"/>
    <col min="13" max="13" width="9.54296875" style="149" customWidth="1"/>
    <col min="14" max="14" width="9.81640625" style="149" customWidth="1"/>
    <col min="15" max="17" width="9.54296875" style="149" customWidth="1"/>
    <col min="18" max="18" width="9.81640625" style="149" customWidth="1"/>
    <col min="19" max="21" width="9.54296875" style="149" customWidth="1"/>
    <col min="22" max="23" width="9.81640625" style="149" customWidth="1"/>
    <col min="24" max="16384" width="9.1796875" style="149"/>
  </cols>
  <sheetData>
    <row r="1" spans="1:12" ht="13.5" customHeight="1" x14ac:dyDescent="0.3">
      <c r="A1" s="147" t="str">
        <f>muni&amp;" - "&amp;TableA34c</f>
        <v>KZN225 Msunduzi - Supporting Table SA34c Consolidated repairs and maintenance by asset class</v>
      </c>
      <c r="B1" s="147"/>
      <c r="C1" s="147"/>
      <c r="D1" s="147"/>
      <c r="E1" s="147"/>
      <c r="F1" s="147"/>
      <c r="G1" s="147"/>
      <c r="H1" s="147"/>
      <c r="I1" s="147"/>
      <c r="J1" s="147"/>
      <c r="K1" s="147"/>
    </row>
    <row r="2" spans="1:12" ht="28.5" customHeight="1" x14ac:dyDescent="0.25">
      <c r="A2" s="985" t="str">
        <f>desc</f>
        <v>Description</v>
      </c>
      <c r="B2" s="419" t="str">
        <f>head27</f>
        <v>Ref</v>
      </c>
      <c r="C2" s="150" t="str">
        <f>head1b</f>
        <v>2009/10</v>
      </c>
      <c r="D2" s="756" t="str">
        <f>head1A</f>
        <v>2010/11</v>
      </c>
      <c r="E2" s="146" t="str">
        <f>Head1</f>
        <v>2011/12</v>
      </c>
      <c r="F2" s="2677" t="str">
        <f>Head2</f>
        <v>Current Year 2012/13</v>
      </c>
      <c r="G2" s="2678"/>
      <c r="H2" s="2678"/>
      <c r="I2" s="2674" t="str">
        <f>Head3</f>
        <v>2013/14 Medium Term Revenue &amp; Expenditure Framework</v>
      </c>
      <c r="J2" s="2675"/>
      <c r="K2" s="2676"/>
    </row>
    <row r="3" spans="1:12" ht="21" x14ac:dyDescent="0.25">
      <c r="A3" s="180" t="s">
        <v>665</v>
      </c>
      <c r="B3" s="986">
        <v>1</v>
      </c>
      <c r="C3" s="390" t="str">
        <f>Head5</f>
        <v>Audited Outcome</v>
      </c>
      <c r="D3" s="999" t="str">
        <f>Head5</f>
        <v>Audited Outcome</v>
      </c>
      <c r="E3" s="391" t="str">
        <f>Head5</f>
        <v>Audited Outcome</v>
      </c>
      <c r="F3" s="299" t="str">
        <f>Head6</f>
        <v>Original Budget</v>
      </c>
      <c r="G3" s="390" t="str">
        <f>Head7</f>
        <v>Adjusted Budget</v>
      </c>
      <c r="H3" s="389" t="str">
        <f>Head8</f>
        <v>Full Year Forecast</v>
      </c>
      <c r="I3" s="299" t="str">
        <f>Head9</f>
        <v>Budget Year 2013/14</v>
      </c>
      <c r="J3" s="390" t="str">
        <f>Head10</f>
        <v>Budget Year +1 2014/15</v>
      </c>
      <c r="K3" s="391" t="str">
        <f>Head11</f>
        <v>Budget Year +2 2015/16</v>
      </c>
    </row>
    <row r="4" spans="1:12" ht="11.25" customHeight="1" x14ac:dyDescent="0.25">
      <c r="A4" s="861" t="s">
        <v>1223</v>
      </c>
      <c r="B4" s="749"/>
      <c r="C4" s="1099"/>
      <c r="D4" s="311"/>
      <c r="E4" s="314"/>
      <c r="F4" s="313"/>
      <c r="G4" s="311"/>
      <c r="H4" s="312"/>
      <c r="I4" s="313"/>
      <c r="J4" s="311"/>
      <c r="K4" s="314"/>
      <c r="L4" s="370"/>
    </row>
    <row r="5" spans="1:12" ht="5.15" customHeight="1" x14ac:dyDescent="0.25">
      <c r="A5" s="249"/>
      <c r="B5" s="182"/>
      <c r="C5" s="315"/>
      <c r="D5" s="315"/>
      <c r="E5" s="318"/>
      <c r="F5" s="317"/>
      <c r="G5" s="315"/>
      <c r="H5" s="316"/>
      <c r="I5" s="317"/>
      <c r="J5" s="315"/>
      <c r="K5" s="318"/>
      <c r="L5" s="370"/>
    </row>
    <row r="6" spans="1:12" ht="11.25" customHeight="1" x14ac:dyDescent="0.25">
      <c r="A6" s="249" t="s">
        <v>974</v>
      </c>
      <c r="B6" s="182"/>
      <c r="C6" s="394">
        <f>C7+C10+C14+C18+C21</f>
        <v>75806997</v>
      </c>
      <c r="D6" s="394">
        <f t="shared" ref="D6:K6" si="0">D7+D10+D14+D18+D21</f>
        <v>42549117</v>
      </c>
      <c r="E6" s="345">
        <f t="shared" si="0"/>
        <v>25196421</v>
      </c>
      <c r="F6" s="395">
        <f t="shared" si="0"/>
        <v>31185319</v>
      </c>
      <c r="G6" s="394">
        <f t="shared" si="0"/>
        <v>32719119</v>
      </c>
      <c r="H6" s="396">
        <f t="shared" si="0"/>
        <v>32719186</v>
      </c>
      <c r="I6" s="395">
        <f t="shared" si="0"/>
        <v>25410828</v>
      </c>
      <c r="J6" s="394">
        <f t="shared" si="0"/>
        <v>25457726</v>
      </c>
      <c r="K6" s="345">
        <f t="shared" si="0"/>
        <v>27968097</v>
      </c>
      <c r="L6" s="1556"/>
    </row>
    <row r="7" spans="1:12" s="1532" customFormat="1" ht="12.5" x14ac:dyDescent="0.25">
      <c r="A7" s="250" t="s">
        <v>534</v>
      </c>
      <c r="B7" s="182"/>
      <c r="C7" s="1110">
        <f>SUM(C8:C9)</f>
        <v>32918500</v>
      </c>
      <c r="D7" s="1110">
        <f t="shared" ref="D7:K7" si="1">SUM(D8:D9)</f>
        <v>1595561</v>
      </c>
      <c r="E7" s="1423">
        <f t="shared" si="1"/>
        <v>3391976</v>
      </c>
      <c r="F7" s="1111">
        <f t="shared" si="1"/>
        <v>5360722</v>
      </c>
      <c r="G7" s="1110">
        <f t="shared" si="1"/>
        <v>5361000</v>
      </c>
      <c r="H7" s="1147">
        <f t="shared" si="1"/>
        <v>5360722</v>
      </c>
      <c r="I7" s="1424">
        <f t="shared" si="1"/>
        <v>3713739</v>
      </c>
      <c r="J7" s="1110">
        <f t="shared" si="1"/>
        <v>2681762</v>
      </c>
      <c r="K7" s="1147">
        <f t="shared" si="1"/>
        <v>4018417</v>
      </c>
      <c r="L7" s="370"/>
    </row>
    <row r="8" spans="1:12" s="1532" customFormat="1" ht="12.5" x14ac:dyDescent="0.25">
      <c r="A8" s="1289" t="s">
        <v>535</v>
      </c>
      <c r="B8" s="182"/>
      <c r="C8" s="1614">
        <v>23229551</v>
      </c>
      <c r="D8" s="1614">
        <v>1595561</v>
      </c>
      <c r="E8" s="1634">
        <v>3391976</v>
      </c>
      <c r="F8" s="1635">
        <v>5360722</v>
      </c>
      <c r="G8" s="1614">
        <v>5361000</v>
      </c>
      <c r="H8" s="1636">
        <f>F8</f>
        <v>5360722</v>
      </c>
      <c r="I8" s="1614">
        <v>3713739</v>
      </c>
      <c r="J8" s="1634">
        <v>2681762</v>
      </c>
      <c r="K8" s="1634">
        <v>4018417</v>
      </c>
      <c r="L8" s="1556"/>
    </row>
    <row r="9" spans="1:12" s="1532" customFormat="1" ht="12.5" x14ac:dyDescent="0.25">
      <c r="A9" s="1289" t="s">
        <v>536</v>
      </c>
      <c r="B9" s="182"/>
      <c r="C9" s="1614">
        <v>9688949</v>
      </c>
      <c r="D9" s="1614"/>
      <c r="E9" s="1634"/>
      <c r="F9" s="1635"/>
      <c r="G9" s="1614"/>
      <c r="H9" s="1636"/>
      <c r="I9" s="1614"/>
      <c r="J9" s="1634"/>
      <c r="K9" s="1634"/>
      <c r="L9" s="1557"/>
    </row>
    <row r="10" spans="1:12" s="1532" customFormat="1" ht="12.5" x14ac:dyDescent="0.25">
      <c r="A10" s="250" t="s">
        <v>21</v>
      </c>
      <c r="B10" s="182"/>
      <c r="C10" s="1063">
        <f>SUM(C11:C13)</f>
        <v>23195034</v>
      </c>
      <c r="D10" s="1063">
        <f t="shared" ref="D10:K10" si="2">SUM(D11:D13)</f>
        <v>31949477</v>
      </c>
      <c r="E10" s="1425">
        <f t="shared" si="2"/>
        <v>13726149</v>
      </c>
      <c r="F10" s="1067">
        <f t="shared" si="2"/>
        <v>24992252</v>
      </c>
      <c r="G10" s="1063">
        <f t="shared" si="2"/>
        <v>26526119</v>
      </c>
      <c r="H10" s="1150">
        <f t="shared" si="2"/>
        <v>26526119</v>
      </c>
      <c r="I10" s="1426">
        <f t="shared" si="2"/>
        <v>20319604</v>
      </c>
      <c r="J10" s="1063">
        <f t="shared" si="2"/>
        <v>21330433</v>
      </c>
      <c r="K10" s="1150">
        <f t="shared" si="2"/>
        <v>22420118</v>
      </c>
      <c r="L10" s="1557"/>
    </row>
    <row r="11" spans="1:12" s="1532" customFormat="1" ht="12.5" x14ac:dyDescent="0.25">
      <c r="A11" s="1289" t="s">
        <v>22</v>
      </c>
      <c r="B11" s="182"/>
      <c r="C11" s="1614"/>
      <c r="D11" s="1614"/>
      <c r="E11" s="1615"/>
      <c r="F11" s="1616"/>
      <c r="G11" s="1053"/>
      <c r="H11" s="1053"/>
      <c r="I11" s="1614"/>
      <c r="J11" s="1617"/>
      <c r="K11" s="1617"/>
      <c r="L11" s="1557"/>
    </row>
    <row r="12" spans="1:12" s="1532" customFormat="1" ht="12.5" x14ac:dyDescent="0.25">
      <c r="A12" s="1289" t="s">
        <v>23</v>
      </c>
      <c r="B12" s="182"/>
      <c r="C12" s="1614">
        <v>22629209</v>
      </c>
      <c r="D12" s="1614">
        <v>28793566</v>
      </c>
      <c r="E12" s="1615">
        <v>13726149</v>
      </c>
      <c r="F12" s="1616">
        <v>24926752</v>
      </c>
      <c r="G12" s="1053">
        <f>F12+1519127</f>
        <v>26445879</v>
      </c>
      <c r="H12" s="1053">
        <f>G12</f>
        <v>26445879</v>
      </c>
      <c r="I12" s="1614">
        <v>20253226</v>
      </c>
      <c r="J12" s="1617">
        <v>21260803</v>
      </c>
      <c r="K12" s="1617">
        <v>22346311</v>
      </c>
      <c r="L12" s="1557"/>
    </row>
    <row r="13" spans="1:12" s="1532" customFormat="1" ht="12.5" x14ac:dyDescent="0.25">
      <c r="A13" s="1289" t="s">
        <v>137</v>
      </c>
      <c r="B13" s="182"/>
      <c r="C13" s="1614">
        <v>565825</v>
      </c>
      <c r="D13" s="1614">
        <v>3155911</v>
      </c>
      <c r="E13" s="1615"/>
      <c r="F13" s="1616">
        <v>65500</v>
      </c>
      <c r="G13" s="1053">
        <f>F13+14740</f>
        <v>80240</v>
      </c>
      <c r="H13" s="1053">
        <f>G13</f>
        <v>80240</v>
      </c>
      <c r="I13" s="1614">
        <v>66378</v>
      </c>
      <c r="J13" s="1617">
        <v>69630</v>
      </c>
      <c r="K13" s="1617">
        <v>73807</v>
      </c>
      <c r="L13" s="1557"/>
    </row>
    <row r="14" spans="1:12" s="1532" customFormat="1" ht="12.5" x14ac:dyDescent="0.25">
      <c r="A14" s="254" t="s">
        <v>24</v>
      </c>
      <c r="B14" s="350"/>
      <c r="C14" s="1063">
        <f>SUM(C15:C17)</f>
        <v>19258444</v>
      </c>
      <c r="D14" s="1063">
        <f t="shared" ref="D14:K14" si="3">SUM(D15:D17)</f>
        <v>345201</v>
      </c>
      <c r="E14" s="1425">
        <f t="shared" si="3"/>
        <v>1215926</v>
      </c>
      <c r="F14" s="1067">
        <f t="shared" si="3"/>
        <v>746080</v>
      </c>
      <c r="G14" s="1063">
        <f t="shared" si="3"/>
        <v>746000</v>
      </c>
      <c r="H14" s="1150">
        <f t="shared" si="3"/>
        <v>746080</v>
      </c>
      <c r="I14" s="1426">
        <f t="shared" si="3"/>
        <v>0</v>
      </c>
      <c r="J14" s="1063">
        <f t="shared" si="3"/>
        <v>0</v>
      </c>
      <c r="K14" s="1150">
        <f t="shared" si="3"/>
        <v>0</v>
      </c>
      <c r="L14" s="1557"/>
    </row>
    <row r="15" spans="1:12" s="1532" customFormat="1" ht="12.5" x14ac:dyDescent="0.25">
      <c r="A15" s="1289" t="s">
        <v>25</v>
      </c>
      <c r="B15" s="182"/>
      <c r="C15" s="1614"/>
      <c r="D15" s="1614"/>
      <c r="E15" s="1615"/>
      <c r="F15" s="1616"/>
      <c r="G15" s="1614"/>
      <c r="H15" s="1617"/>
      <c r="I15" s="1614"/>
      <c r="J15" s="1617"/>
      <c r="K15" s="1617"/>
      <c r="L15" s="1557"/>
    </row>
    <row r="16" spans="1:12" s="1532" customFormat="1" ht="12.5" x14ac:dyDescent="0.25">
      <c r="A16" s="1289" t="s">
        <v>26</v>
      </c>
      <c r="B16" s="182"/>
      <c r="C16" s="1614"/>
      <c r="D16" s="1614"/>
      <c r="E16" s="1615"/>
      <c r="F16" s="1616"/>
      <c r="G16" s="1614"/>
      <c r="H16" s="1617"/>
      <c r="I16" s="1614"/>
      <c r="J16" s="1617"/>
      <c r="K16" s="1617"/>
      <c r="L16" s="1557"/>
    </row>
    <row r="17" spans="1:12" s="1532" customFormat="1" ht="12.5" x14ac:dyDescent="0.25">
      <c r="A17" s="1289" t="s">
        <v>27</v>
      </c>
      <c r="B17" s="182"/>
      <c r="C17" s="1614">
        <v>19258444</v>
      </c>
      <c r="D17" s="1614">
        <v>345201</v>
      </c>
      <c r="E17" s="1615">
        <v>1215926</v>
      </c>
      <c r="F17" s="1616">
        <v>746080</v>
      </c>
      <c r="G17" s="1614">
        <v>746000</v>
      </c>
      <c r="H17" s="1617">
        <f>F17</f>
        <v>746080</v>
      </c>
      <c r="I17" s="1614"/>
      <c r="J17" s="1617"/>
      <c r="K17" s="1617"/>
      <c r="L17" s="1557"/>
    </row>
    <row r="18" spans="1:12" s="1532" customFormat="1" ht="12.5" x14ac:dyDescent="0.25">
      <c r="A18" s="254" t="s">
        <v>28</v>
      </c>
      <c r="B18" s="182"/>
      <c r="C18" s="1063">
        <f t="shared" ref="C18:K18" si="4">SUM(C19:C20)</f>
        <v>0</v>
      </c>
      <c r="D18" s="1063">
        <f t="shared" si="4"/>
        <v>8253621</v>
      </c>
      <c r="E18" s="1425">
        <f t="shared" si="4"/>
        <v>0</v>
      </c>
      <c r="F18" s="1067">
        <f t="shared" si="4"/>
        <v>0</v>
      </c>
      <c r="G18" s="1063">
        <f t="shared" si="4"/>
        <v>0</v>
      </c>
      <c r="H18" s="1150">
        <f t="shared" si="4"/>
        <v>0</v>
      </c>
      <c r="I18" s="1426">
        <f t="shared" si="4"/>
        <v>0</v>
      </c>
      <c r="J18" s="1063">
        <f t="shared" si="4"/>
        <v>0</v>
      </c>
      <c r="K18" s="1150">
        <f t="shared" si="4"/>
        <v>0</v>
      </c>
      <c r="L18" s="1557"/>
    </row>
    <row r="19" spans="1:12" s="1532" customFormat="1" ht="12.5" x14ac:dyDescent="0.25">
      <c r="A19" s="1289" t="s">
        <v>27</v>
      </c>
      <c r="B19" s="182"/>
      <c r="C19" s="1614"/>
      <c r="D19" s="1614">
        <v>8253621</v>
      </c>
      <c r="E19" s="1615"/>
      <c r="F19" s="1616"/>
      <c r="G19" s="1614"/>
      <c r="H19" s="1617"/>
      <c r="I19" s="1618"/>
      <c r="J19" s="1614"/>
      <c r="K19" s="1617"/>
      <c r="L19" s="1557"/>
    </row>
    <row r="20" spans="1:12" s="1532" customFormat="1" ht="12.5" x14ac:dyDescent="0.25">
      <c r="A20" s="1289" t="s">
        <v>29</v>
      </c>
      <c r="B20" s="182"/>
      <c r="C20" s="1614"/>
      <c r="D20" s="1614"/>
      <c r="E20" s="1615">
        <v>0</v>
      </c>
      <c r="F20" s="1616"/>
      <c r="G20" s="1614"/>
      <c r="H20" s="1617"/>
      <c r="I20" s="1618"/>
      <c r="J20" s="1614"/>
      <c r="K20" s="1614"/>
      <c r="L20" s="1557"/>
    </row>
    <row r="21" spans="1:12" s="1532" customFormat="1" ht="12.5" x14ac:dyDescent="0.25">
      <c r="A21" s="250" t="s">
        <v>30</v>
      </c>
      <c r="B21" s="182"/>
      <c r="C21" s="1063">
        <f>SUM(C22:C25)</f>
        <v>435019</v>
      </c>
      <c r="D21" s="1063">
        <f t="shared" ref="D21:K21" si="5">SUM(D22:D25)</f>
        <v>405257</v>
      </c>
      <c r="E21" s="1063">
        <f t="shared" si="5"/>
        <v>6862370</v>
      </c>
      <c r="F21" s="1067">
        <f t="shared" si="5"/>
        <v>86265</v>
      </c>
      <c r="G21" s="1063">
        <f t="shared" si="5"/>
        <v>86000</v>
      </c>
      <c r="H21" s="1150">
        <f t="shared" si="5"/>
        <v>86265</v>
      </c>
      <c r="I21" s="1426">
        <f t="shared" si="5"/>
        <v>1377485</v>
      </c>
      <c r="J21" s="1063">
        <f t="shared" si="5"/>
        <v>1445531</v>
      </c>
      <c r="K21" s="1150">
        <f t="shared" si="5"/>
        <v>1529562</v>
      </c>
      <c r="L21" s="1557"/>
    </row>
    <row r="22" spans="1:12" s="1532" customFormat="1" ht="12.5" x14ac:dyDescent="0.25">
      <c r="A22" s="1289" t="s">
        <v>1084</v>
      </c>
      <c r="B22" s="182"/>
      <c r="C22" s="1614">
        <v>52609</v>
      </c>
      <c r="D22" s="1614">
        <v>377151</v>
      </c>
      <c r="E22" s="1636">
        <f>3627460</f>
        <v>3627460</v>
      </c>
      <c r="F22" s="1635">
        <v>86265</v>
      </c>
      <c r="G22" s="1614">
        <v>86000</v>
      </c>
      <c r="H22" s="1636">
        <f>F22</f>
        <v>86265</v>
      </c>
      <c r="I22" s="1635"/>
      <c r="J22" s="1614"/>
      <c r="K22" s="1617"/>
      <c r="L22" s="1556"/>
    </row>
    <row r="23" spans="1:12" s="1532" customFormat="1" ht="12.5" x14ac:dyDescent="0.25">
      <c r="A23" s="1289" t="s">
        <v>320</v>
      </c>
      <c r="B23" s="182">
        <v>2</v>
      </c>
      <c r="C23" s="1614"/>
      <c r="D23" s="1614"/>
      <c r="E23" s="1634">
        <v>0</v>
      </c>
      <c r="F23" s="1635"/>
      <c r="G23" s="1614"/>
      <c r="H23" s="1636"/>
      <c r="I23" s="1635"/>
      <c r="J23" s="1614"/>
      <c r="K23" s="1634"/>
      <c r="L23" s="1557"/>
    </row>
    <row r="24" spans="1:12" s="1532" customFormat="1" ht="12.5" x14ac:dyDescent="0.25">
      <c r="A24" s="1289" t="s">
        <v>138</v>
      </c>
      <c r="B24" s="182"/>
      <c r="C24" s="1614"/>
      <c r="D24" s="1614"/>
      <c r="E24" s="1634">
        <v>0</v>
      </c>
      <c r="F24" s="1635"/>
      <c r="G24" s="1614"/>
      <c r="H24" s="1636"/>
      <c r="I24" s="1635"/>
      <c r="J24" s="1614"/>
      <c r="K24" s="1614"/>
      <c r="L24" s="1557"/>
    </row>
    <row r="25" spans="1:12" s="1532" customFormat="1" ht="12.5" x14ac:dyDescent="0.25">
      <c r="A25" s="1289" t="s">
        <v>292</v>
      </c>
      <c r="B25" s="182">
        <v>3</v>
      </c>
      <c r="C25" s="1614">
        <v>382410</v>
      </c>
      <c r="D25" s="1614">
        <v>28106</v>
      </c>
      <c r="E25" s="1634">
        <v>3234910</v>
      </c>
      <c r="F25" s="1635"/>
      <c r="G25" s="1614"/>
      <c r="H25" s="1636"/>
      <c r="I25" s="1635">
        <v>1377485</v>
      </c>
      <c r="J25" s="1614">
        <v>1445531</v>
      </c>
      <c r="K25" s="1634">
        <v>1529562</v>
      </c>
      <c r="L25" s="1557"/>
    </row>
    <row r="26" spans="1:12" ht="5.15" customHeight="1" x14ac:dyDescent="0.25">
      <c r="A26" s="273"/>
      <c r="B26" s="182"/>
      <c r="C26" s="203"/>
      <c r="D26" s="203"/>
      <c r="E26" s="204"/>
      <c r="F26" s="205"/>
      <c r="G26" s="203"/>
      <c r="H26" s="202"/>
      <c r="I26" s="205"/>
      <c r="J26" s="203"/>
      <c r="K26" s="204"/>
      <c r="L26" s="370"/>
    </row>
    <row r="27" spans="1:12" ht="17.25" customHeight="1" x14ac:dyDescent="0.25">
      <c r="A27" s="249" t="s">
        <v>1559</v>
      </c>
      <c r="B27" s="182"/>
      <c r="C27" s="218">
        <f>SUM(C28:C41)</f>
        <v>1973762</v>
      </c>
      <c r="D27" s="218">
        <f t="shared" ref="D27:K27" si="6">SUM(D28:D41)</f>
        <v>3217941</v>
      </c>
      <c r="E27" s="219">
        <f t="shared" si="6"/>
        <v>9015310</v>
      </c>
      <c r="F27" s="220">
        <f t="shared" si="6"/>
        <v>2073845</v>
      </c>
      <c r="G27" s="218">
        <f t="shared" si="6"/>
        <v>2485938</v>
      </c>
      <c r="H27" s="217">
        <f t="shared" si="6"/>
        <v>2486054</v>
      </c>
      <c r="I27" s="220">
        <f t="shared" si="6"/>
        <v>4898342</v>
      </c>
      <c r="J27" s="218">
        <f t="shared" si="6"/>
        <v>6289869</v>
      </c>
      <c r="K27" s="219">
        <f t="shared" si="6"/>
        <v>5929528</v>
      </c>
      <c r="L27" s="370"/>
    </row>
    <row r="28" spans="1:12" ht="11.25" customHeight="1" x14ac:dyDescent="0.25">
      <c r="A28" s="250" t="s">
        <v>2</v>
      </c>
      <c r="B28" s="182"/>
      <c r="C28" s="1619">
        <v>293322</v>
      </c>
      <c r="D28" s="1619"/>
      <c r="E28" s="1888"/>
      <c r="F28" s="1957"/>
      <c r="G28" s="1053">
        <v>340188</v>
      </c>
      <c r="H28" s="1053">
        <v>340188</v>
      </c>
      <c r="I28" s="1619">
        <v>2764732</v>
      </c>
      <c r="J28" s="1888">
        <v>2862598</v>
      </c>
      <c r="K28" s="1888">
        <v>2541584</v>
      </c>
      <c r="L28" s="1557"/>
    </row>
    <row r="29" spans="1:12" ht="11.25" customHeight="1" x14ac:dyDescent="0.25">
      <c r="A29" s="250" t="s">
        <v>1579</v>
      </c>
      <c r="B29" s="182"/>
      <c r="C29" s="1614">
        <v>192859</v>
      </c>
      <c r="D29" s="1614">
        <v>1313180</v>
      </c>
      <c r="E29" s="1634">
        <v>2660743</v>
      </c>
      <c r="F29" s="1635">
        <v>616167</v>
      </c>
      <c r="G29" s="1635">
        <f>616167+65000</f>
        <v>681167</v>
      </c>
      <c r="H29" s="1053">
        <f>F29+65000</f>
        <v>681167</v>
      </c>
      <c r="I29" s="1614"/>
      <c r="J29" s="1634"/>
      <c r="K29" s="1634"/>
      <c r="L29" s="1557"/>
    </row>
    <row r="30" spans="1:12" ht="11.25" customHeight="1" x14ac:dyDescent="0.25">
      <c r="A30" s="250" t="s">
        <v>503</v>
      </c>
      <c r="B30" s="182"/>
      <c r="C30" s="1614">
        <v>20971</v>
      </c>
      <c r="D30" s="1614"/>
      <c r="E30" s="1634"/>
      <c r="F30" s="1635"/>
      <c r="G30" s="1053"/>
      <c r="H30" s="1053"/>
      <c r="I30" s="1614"/>
      <c r="J30" s="1634"/>
      <c r="K30" s="1634"/>
      <c r="L30" s="1557"/>
    </row>
    <row r="31" spans="1:12" ht="11.25" customHeight="1" x14ac:dyDescent="0.25">
      <c r="A31" s="250" t="s">
        <v>1</v>
      </c>
      <c r="B31" s="182"/>
      <c r="C31" s="1614">
        <v>196522</v>
      </c>
      <c r="D31" s="1614"/>
      <c r="E31" s="1634"/>
      <c r="F31" s="1635"/>
      <c r="G31" s="1053"/>
      <c r="H31" s="1053"/>
      <c r="I31" s="1614"/>
      <c r="J31" s="1634"/>
      <c r="K31" s="1634"/>
      <c r="L31" s="1557"/>
    </row>
    <row r="32" spans="1:12" ht="11.25" customHeight="1" x14ac:dyDescent="0.25">
      <c r="A32" s="250" t="s">
        <v>339</v>
      </c>
      <c r="B32" s="182"/>
      <c r="C32" s="1614">
        <v>485496</v>
      </c>
      <c r="D32" s="1614">
        <v>692912</v>
      </c>
      <c r="E32" s="1634">
        <v>712759</v>
      </c>
      <c r="F32" s="1635">
        <v>531649</v>
      </c>
      <c r="G32" s="1053">
        <f>F32+72014</f>
        <v>603663</v>
      </c>
      <c r="H32" s="1053">
        <f>G32</f>
        <v>603663</v>
      </c>
      <c r="I32" s="1614">
        <v>280000</v>
      </c>
      <c r="J32" s="1634">
        <v>166182</v>
      </c>
      <c r="K32" s="1634">
        <v>88200</v>
      </c>
      <c r="L32" s="1557"/>
    </row>
    <row r="33" spans="1:15" ht="11.25" customHeight="1" x14ac:dyDescent="0.25">
      <c r="A33" s="250" t="s">
        <v>0</v>
      </c>
      <c r="B33" s="182"/>
      <c r="C33" s="1614">
        <v>0</v>
      </c>
      <c r="D33" s="1614"/>
      <c r="E33" s="1634"/>
      <c r="F33" s="1635"/>
      <c r="G33" s="1053"/>
      <c r="H33" s="1053"/>
      <c r="I33" s="1614"/>
      <c r="J33" s="1634"/>
      <c r="K33" s="1634"/>
      <c r="L33" s="1557"/>
    </row>
    <row r="34" spans="1:15" ht="11.25" customHeight="1" x14ac:dyDescent="0.25">
      <c r="A34" s="250" t="s">
        <v>1580</v>
      </c>
      <c r="B34" s="182"/>
      <c r="C34" s="1614">
        <v>348838</v>
      </c>
      <c r="D34" s="1614">
        <v>508619</v>
      </c>
      <c r="E34" s="1634">
        <v>906540</v>
      </c>
      <c r="F34" s="1635">
        <v>397024</v>
      </c>
      <c r="G34" s="1053">
        <f>F34+-2064</f>
        <v>394960</v>
      </c>
      <c r="H34" s="1053">
        <f>G34</f>
        <v>394960</v>
      </c>
      <c r="I34" s="1614"/>
      <c r="J34" s="1634"/>
      <c r="K34" s="1634"/>
      <c r="L34" s="1557"/>
    </row>
    <row r="35" spans="1:15" ht="11.25" customHeight="1" x14ac:dyDescent="0.25">
      <c r="A35" s="250" t="s">
        <v>959</v>
      </c>
      <c r="B35" s="182"/>
      <c r="C35" s="1614">
        <v>2282</v>
      </c>
      <c r="D35" s="1614"/>
      <c r="E35" s="1634"/>
      <c r="F35" s="1635">
        <v>37116</v>
      </c>
      <c r="G35" s="1053">
        <v>37000</v>
      </c>
      <c r="H35" s="1053">
        <f>F35</f>
        <v>37116</v>
      </c>
      <c r="I35" s="1614"/>
      <c r="J35" s="1634"/>
      <c r="K35" s="1634"/>
      <c r="L35" s="1557"/>
    </row>
    <row r="36" spans="1:15" ht="11.25" customHeight="1" x14ac:dyDescent="0.25">
      <c r="A36" s="250" t="s">
        <v>1515</v>
      </c>
      <c r="B36" s="182">
        <v>7</v>
      </c>
      <c r="C36" s="1614">
        <v>0</v>
      </c>
      <c r="D36" s="1614"/>
      <c r="E36" s="1634"/>
      <c r="F36" s="1635"/>
      <c r="G36" s="1053"/>
      <c r="H36" s="1053"/>
      <c r="I36" s="1614"/>
      <c r="J36" s="1634"/>
      <c r="K36" s="1634"/>
      <c r="L36" s="1557"/>
    </row>
    <row r="37" spans="1:15" ht="11.25" customHeight="1" x14ac:dyDescent="0.25">
      <c r="A37" s="250" t="s">
        <v>1281</v>
      </c>
      <c r="B37" s="182"/>
      <c r="C37" s="1614">
        <v>128969</v>
      </c>
      <c r="D37" s="1614">
        <v>202634</v>
      </c>
      <c r="E37" s="1634">
        <v>323428</v>
      </c>
      <c r="F37" s="1635">
        <v>289825</v>
      </c>
      <c r="G37" s="1053">
        <f>F37+-61897</f>
        <v>227928</v>
      </c>
      <c r="H37" s="1053">
        <f>G37</f>
        <v>227928</v>
      </c>
      <c r="I37" s="1614">
        <v>36100</v>
      </c>
      <c r="J37" s="1634">
        <v>37769</v>
      </c>
      <c r="K37" s="1634">
        <v>39619</v>
      </c>
      <c r="L37" s="1557"/>
      <c r="O37" s="370"/>
    </row>
    <row r="38" spans="1:15" ht="11.25" customHeight="1" x14ac:dyDescent="0.25">
      <c r="A38" s="250" t="s">
        <v>722</v>
      </c>
      <c r="B38" s="182"/>
      <c r="C38" s="1614">
        <v>3598</v>
      </c>
      <c r="D38" s="1614">
        <v>6173</v>
      </c>
      <c r="E38" s="1634">
        <v>149946</v>
      </c>
      <c r="F38" s="1635">
        <v>1032</v>
      </c>
      <c r="G38" s="1053">
        <f>F38</f>
        <v>1032</v>
      </c>
      <c r="H38" s="1053">
        <f>F38</f>
        <v>1032</v>
      </c>
      <c r="I38" s="1614">
        <v>300000</v>
      </c>
      <c r="J38" s="1634">
        <v>315000</v>
      </c>
      <c r="K38" s="1634">
        <v>330750</v>
      </c>
      <c r="L38" s="1557"/>
    </row>
    <row r="39" spans="1:15" ht="11.25" customHeight="1" x14ac:dyDescent="0.25">
      <c r="A39" s="250" t="s">
        <v>501</v>
      </c>
      <c r="B39" s="182"/>
      <c r="C39" s="1614">
        <v>761</v>
      </c>
      <c r="D39" s="1614">
        <v>470453</v>
      </c>
      <c r="E39" s="1634">
        <v>669667</v>
      </c>
      <c r="F39" s="1635">
        <v>201032</v>
      </c>
      <c r="G39" s="1053">
        <f>F39+-1032</f>
        <v>200000</v>
      </c>
      <c r="H39" s="1053">
        <f>G39</f>
        <v>200000</v>
      </c>
      <c r="I39" s="1614">
        <v>27511</v>
      </c>
      <c r="J39" s="1634">
        <v>28859</v>
      </c>
      <c r="K39" s="1634">
        <v>0</v>
      </c>
      <c r="L39" s="1557"/>
    </row>
    <row r="40" spans="1:15" ht="11.25" customHeight="1" x14ac:dyDescent="0.25">
      <c r="A40" s="250" t="s">
        <v>31</v>
      </c>
      <c r="B40" s="182">
        <v>8</v>
      </c>
      <c r="C40" s="1614">
        <v>300144</v>
      </c>
      <c r="D40" s="1614"/>
      <c r="E40" s="1634"/>
      <c r="F40" s="1635"/>
      <c r="G40" s="1053"/>
      <c r="H40" s="1053"/>
      <c r="I40" s="1614"/>
      <c r="J40" s="1634"/>
      <c r="K40" s="1634"/>
      <c r="L40" s="370"/>
    </row>
    <row r="41" spans="1:15" ht="11.25" customHeight="1" x14ac:dyDescent="0.25">
      <c r="A41" s="250" t="s">
        <v>292</v>
      </c>
      <c r="B41" s="182"/>
      <c r="C41" s="1656"/>
      <c r="D41" s="1656">
        <v>23970</v>
      </c>
      <c r="E41" s="1657">
        <v>3592227</v>
      </c>
      <c r="F41" s="1658"/>
      <c r="G41" s="1053"/>
      <c r="H41" s="1053"/>
      <c r="I41" s="1656">
        <f>1449999+40000</f>
        <v>1489999</v>
      </c>
      <c r="J41" s="1657">
        <f>2837501+41960</f>
        <v>2879461</v>
      </c>
      <c r="K41" s="1657">
        <v>2929375</v>
      </c>
      <c r="L41" s="1557"/>
    </row>
    <row r="42" spans="1:15" ht="5.15" customHeight="1" x14ac:dyDescent="0.25">
      <c r="A42" s="273"/>
      <c r="B42" s="182"/>
      <c r="C42" s="203"/>
      <c r="D42" s="203"/>
      <c r="E42" s="204"/>
      <c r="F42" s="205"/>
      <c r="G42" s="203"/>
      <c r="H42" s="202"/>
      <c r="I42" s="205"/>
      <c r="J42" s="203"/>
      <c r="K42" s="204"/>
      <c r="L42" s="370"/>
    </row>
    <row r="43" spans="1:15" ht="17.25" customHeight="1" x14ac:dyDescent="0.25">
      <c r="A43" s="249" t="s">
        <v>962</v>
      </c>
      <c r="B43" s="182"/>
      <c r="C43" s="203">
        <f>SUM(C44:C45)</f>
        <v>0</v>
      </c>
      <c r="D43" s="203">
        <f t="shared" ref="D43:K43" si="7">SUM(D44:D45)</f>
        <v>0</v>
      </c>
      <c r="E43" s="204">
        <f t="shared" si="7"/>
        <v>0</v>
      </c>
      <c r="F43" s="205">
        <f t="shared" si="7"/>
        <v>0</v>
      </c>
      <c r="G43" s="203">
        <f t="shared" si="7"/>
        <v>0</v>
      </c>
      <c r="H43" s="202">
        <f t="shared" si="7"/>
        <v>0</v>
      </c>
      <c r="I43" s="205">
        <f t="shared" si="7"/>
        <v>0</v>
      </c>
      <c r="J43" s="203">
        <f t="shared" si="7"/>
        <v>0</v>
      </c>
      <c r="K43" s="204">
        <f t="shared" si="7"/>
        <v>0</v>
      </c>
      <c r="L43" s="370"/>
    </row>
    <row r="44" spans="1:15" ht="11.25" customHeight="1" x14ac:dyDescent="0.25">
      <c r="A44" s="250" t="s">
        <v>1253</v>
      </c>
      <c r="B44" s="182"/>
      <c r="C44" s="1623"/>
      <c r="D44" s="1623"/>
      <c r="E44" s="1978"/>
      <c r="F44" s="1979"/>
      <c r="G44" s="1623"/>
      <c r="H44" s="1980"/>
      <c r="I44" s="1979"/>
      <c r="J44" s="1623"/>
      <c r="K44" s="1978"/>
      <c r="L44" s="370"/>
    </row>
    <row r="45" spans="1:15" ht="11.25" customHeight="1" x14ac:dyDescent="0.25">
      <c r="A45" s="254" t="s">
        <v>292</v>
      </c>
      <c r="B45" s="182">
        <v>9</v>
      </c>
      <c r="C45" s="1651"/>
      <c r="D45" s="1651"/>
      <c r="E45" s="1981"/>
      <c r="F45" s="1982"/>
      <c r="G45" s="1651"/>
      <c r="H45" s="1983"/>
      <c r="I45" s="1982"/>
      <c r="J45" s="1651"/>
      <c r="K45" s="1981"/>
      <c r="L45" s="370"/>
    </row>
    <row r="46" spans="1:15" ht="5.15" customHeight="1" x14ac:dyDescent="0.25">
      <c r="A46" s="273"/>
      <c r="B46" s="182"/>
      <c r="C46" s="203"/>
      <c r="D46" s="203"/>
      <c r="E46" s="204"/>
      <c r="F46" s="205"/>
      <c r="G46" s="203"/>
      <c r="H46" s="202"/>
      <c r="I46" s="205"/>
      <c r="J46" s="203"/>
      <c r="K46" s="204"/>
      <c r="L46" s="370"/>
    </row>
    <row r="47" spans="1:15" ht="17.25" customHeight="1" x14ac:dyDescent="0.25">
      <c r="A47" s="249" t="s">
        <v>963</v>
      </c>
      <c r="B47" s="182"/>
      <c r="C47" s="218">
        <f>SUM(C48:C49)</f>
        <v>0</v>
      </c>
      <c r="D47" s="218">
        <f t="shared" ref="D47:K47" si="8">SUM(D48:D49)</f>
        <v>0</v>
      </c>
      <c r="E47" s="219">
        <f t="shared" si="8"/>
        <v>0</v>
      </c>
      <c r="F47" s="220">
        <f t="shared" si="8"/>
        <v>0</v>
      </c>
      <c r="G47" s="218">
        <f t="shared" si="8"/>
        <v>0</v>
      </c>
      <c r="H47" s="217">
        <f t="shared" si="8"/>
        <v>0</v>
      </c>
      <c r="I47" s="220">
        <f t="shared" si="8"/>
        <v>0</v>
      </c>
      <c r="J47" s="218">
        <f t="shared" si="8"/>
        <v>0</v>
      </c>
      <c r="K47" s="219">
        <f t="shared" si="8"/>
        <v>0</v>
      </c>
      <c r="L47" s="370"/>
    </row>
    <row r="48" spans="1:15" ht="11.25" customHeight="1" x14ac:dyDescent="0.25">
      <c r="A48" s="250" t="s">
        <v>502</v>
      </c>
      <c r="B48" s="182"/>
      <c r="C48" s="1619"/>
      <c r="D48" s="1619"/>
      <c r="E48" s="1888"/>
      <c r="F48" s="1957"/>
      <c r="G48" s="1619"/>
      <c r="H48" s="1977"/>
      <c r="I48" s="1957"/>
      <c r="J48" s="1619"/>
      <c r="K48" s="1888"/>
      <c r="L48" s="1557"/>
    </row>
    <row r="49" spans="1:12" ht="11.25" customHeight="1" x14ac:dyDescent="0.25">
      <c r="A49" s="250" t="s">
        <v>292</v>
      </c>
      <c r="B49" s="182"/>
      <c r="C49" s="1656"/>
      <c r="D49" s="1656"/>
      <c r="E49" s="1657"/>
      <c r="F49" s="1658"/>
      <c r="G49" s="1656"/>
      <c r="H49" s="1659"/>
      <c r="I49" s="1658"/>
      <c r="J49" s="1656"/>
      <c r="K49" s="1657"/>
      <c r="L49" s="370"/>
    </row>
    <row r="50" spans="1:12" ht="5.15" customHeight="1" x14ac:dyDescent="0.25">
      <c r="A50" s="273"/>
      <c r="B50" s="182"/>
      <c r="C50" s="203"/>
      <c r="D50" s="203"/>
      <c r="E50" s="204"/>
      <c r="F50" s="205"/>
      <c r="G50" s="203"/>
      <c r="H50" s="202"/>
      <c r="I50" s="205"/>
      <c r="J50" s="203"/>
      <c r="K50" s="204"/>
      <c r="L50" s="370"/>
    </row>
    <row r="51" spans="1:12" ht="17.25" customHeight="1" x14ac:dyDescent="0.25">
      <c r="A51" s="249" t="s">
        <v>964</v>
      </c>
      <c r="B51" s="182"/>
      <c r="C51" s="218">
        <f>SUM(C52:C63)</f>
        <v>40412763</v>
      </c>
      <c r="D51" s="218">
        <f t="shared" ref="D51:K51" si="9">SUM(D52:D63)</f>
        <v>19880779</v>
      </c>
      <c r="E51" s="219">
        <f t="shared" si="9"/>
        <v>5297956</v>
      </c>
      <c r="F51" s="220">
        <f t="shared" si="9"/>
        <v>55926186</v>
      </c>
      <c r="G51" s="218">
        <f t="shared" si="9"/>
        <v>54083232</v>
      </c>
      <c r="H51" s="217">
        <f t="shared" si="9"/>
        <v>54083232</v>
      </c>
      <c r="I51" s="220">
        <f t="shared" si="9"/>
        <v>65004757</v>
      </c>
      <c r="J51" s="218">
        <f t="shared" si="9"/>
        <v>67895189</v>
      </c>
      <c r="K51" s="219">
        <f t="shared" si="9"/>
        <v>96904838</v>
      </c>
      <c r="L51" s="370"/>
    </row>
    <row r="52" spans="1:12" ht="11.25" customHeight="1" x14ac:dyDescent="0.25">
      <c r="A52" s="254" t="s">
        <v>630</v>
      </c>
      <c r="B52" s="182"/>
      <c r="C52" s="1619">
        <v>8786005</v>
      </c>
      <c r="D52" s="1619">
        <v>9511845</v>
      </c>
      <c r="E52" s="1888">
        <f>41531+278215</f>
        <v>319746</v>
      </c>
      <c r="F52" s="1957">
        <v>13842303</v>
      </c>
      <c r="G52" s="1053">
        <f>F52+1454154</f>
        <v>15296457</v>
      </c>
      <c r="H52" s="1053">
        <f>G52</f>
        <v>15296457</v>
      </c>
      <c r="I52" s="1619">
        <v>15334501</v>
      </c>
      <c r="J52" s="1888">
        <v>16080226</v>
      </c>
      <c r="K52" s="1888">
        <v>16534673</v>
      </c>
      <c r="L52" s="1557"/>
    </row>
    <row r="53" spans="1:12" ht="11.25" customHeight="1" x14ac:dyDescent="0.25">
      <c r="A53" s="254" t="s">
        <v>32</v>
      </c>
      <c r="B53" s="182">
        <v>10</v>
      </c>
      <c r="C53" s="1063">
        <f>C79</f>
        <v>4348693</v>
      </c>
      <c r="D53" s="1063">
        <f t="shared" ref="D53:K53" si="10">D79</f>
        <v>0</v>
      </c>
      <c r="E53" s="1064">
        <f t="shared" si="10"/>
        <v>0</v>
      </c>
      <c r="F53" s="1065">
        <f t="shared" si="10"/>
        <v>0</v>
      </c>
      <c r="G53" s="1063">
        <f t="shared" si="10"/>
        <v>0</v>
      </c>
      <c r="H53" s="1066">
        <f t="shared" si="10"/>
        <v>0</v>
      </c>
      <c r="I53" s="1065">
        <f t="shared" si="10"/>
        <v>0</v>
      </c>
      <c r="J53" s="1063">
        <f t="shared" si="10"/>
        <v>0</v>
      </c>
      <c r="K53" s="1064">
        <f t="shared" si="10"/>
        <v>0</v>
      </c>
      <c r="L53" s="370"/>
    </row>
    <row r="54" spans="1:12" ht="11.25" customHeight="1" x14ac:dyDescent="0.25">
      <c r="A54" s="254" t="s">
        <v>1241</v>
      </c>
      <c r="B54" s="182"/>
      <c r="C54" s="1614">
        <v>11429170</v>
      </c>
      <c r="D54" s="1614"/>
      <c r="E54" s="1634">
        <f>33897+113450</f>
        <v>147347</v>
      </c>
      <c r="F54" s="1635">
        <v>30239627</v>
      </c>
      <c r="G54" s="1053">
        <f>F54+-3130027</f>
        <v>27109600</v>
      </c>
      <c r="H54" s="1053">
        <f>G54</f>
        <v>27109600</v>
      </c>
      <c r="I54" s="1614">
        <v>25893042</v>
      </c>
      <c r="J54" s="1634">
        <v>28179707</v>
      </c>
      <c r="K54" s="1634">
        <v>28053811</v>
      </c>
      <c r="L54" s="1557"/>
    </row>
    <row r="55" spans="1:12" ht="11.25" customHeight="1" x14ac:dyDescent="0.25">
      <c r="A55" s="254" t="s">
        <v>631</v>
      </c>
      <c r="B55" s="182"/>
      <c r="C55" s="1614"/>
      <c r="D55" s="1614"/>
      <c r="E55" s="1634"/>
      <c r="F55" s="1635">
        <v>8370320</v>
      </c>
      <c r="G55" s="1053">
        <f>F55+-580320</f>
        <v>7790000</v>
      </c>
      <c r="H55" s="1053">
        <f>G55</f>
        <v>7790000</v>
      </c>
      <c r="I55" s="1614"/>
      <c r="J55" s="1634"/>
      <c r="K55" s="1634"/>
      <c r="L55" s="1557"/>
    </row>
    <row r="56" spans="1:12" ht="11.25" customHeight="1" x14ac:dyDescent="0.25">
      <c r="A56" s="254" t="s">
        <v>632</v>
      </c>
      <c r="B56" s="182"/>
      <c r="C56" s="1614"/>
      <c r="D56" s="1614">
        <v>7605743</v>
      </c>
      <c r="E56" s="1634"/>
      <c r="F56" s="1635"/>
      <c r="G56" s="1053"/>
      <c r="H56" s="1053"/>
      <c r="I56" s="1614"/>
      <c r="J56" s="1634"/>
      <c r="K56" s="1634"/>
      <c r="L56" s="1557"/>
    </row>
    <row r="57" spans="1:12" ht="11.25" customHeight="1" x14ac:dyDescent="0.25">
      <c r="A57" s="254" t="s">
        <v>1242</v>
      </c>
      <c r="B57" s="182"/>
      <c r="C57" s="1614"/>
      <c r="D57" s="1614"/>
      <c r="E57" s="1634"/>
      <c r="F57" s="1635"/>
      <c r="G57" s="1053"/>
      <c r="H57" s="1053"/>
      <c r="I57" s="1614"/>
      <c r="J57" s="1634"/>
      <c r="K57" s="1634"/>
      <c r="L57" s="1557"/>
    </row>
    <row r="58" spans="1:12" ht="11.25" customHeight="1" x14ac:dyDescent="0.25">
      <c r="A58" s="254" t="s">
        <v>1243</v>
      </c>
      <c r="B58" s="182"/>
      <c r="C58" s="1614">
        <v>601762</v>
      </c>
      <c r="D58" s="1614"/>
      <c r="E58" s="1634"/>
      <c r="F58" s="1635"/>
      <c r="G58" s="1053"/>
      <c r="H58" s="1053"/>
      <c r="I58" s="1614"/>
      <c r="J58" s="1634"/>
      <c r="K58" s="1634"/>
      <c r="L58" s="1556"/>
    </row>
    <row r="59" spans="1:12" ht="11.25" customHeight="1" x14ac:dyDescent="0.25">
      <c r="A59" s="254" t="s">
        <v>1513</v>
      </c>
      <c r="B59" s="182"/>
      <c r="C59" s="1614">
        <v>3458602</v>
      </c>
      <c r="D59" s="1614"/>
      <c r="E59" s="1634"/>
      <c r="F59" s="1635">
        <v>2768633</v>
      </c>
      <c r="G59" s="1053">
        <f>F59+540000</f>
        <v>3308633</v>
      </c>
      <c r="H59" s="1053">
        <f>G59</f>
        <v>3308633</v>
      </c>
      <c r="I59" s="1614">
        <f>5368744+16608470</f>
        <v>21977214</v>
      </c>
      <c r="J59" s="1634">
        <f>5553254+16192302</f>
        <v>21745556</v>
      </c>
      <c r="K59" s="1634">
        <f>5221806+45113678</f>
        <v>50335484</v>
      </c>
      <c r="L59" s="1557"/>
    </row>
    <row r="60" spans="1:12" ht="11.25" customHeight="1" x14ac:dyDescent="0.25">
      <c r="A60" s="254" t="s">
        <v>322</v>
      </c>
      <c r="B60" s="182"/>
      <c r="C60" s="1614"/>
      <c r="D60" s="1614"/>
      <c r="E60" s="1634">
        <f>20007+147647</f>
        <v>167654</v>
      </c>
      <c r="F60" s="1635"/>
      <c r="G60" s="1053"/>
      <c r="H60" s="1053"/>
      <c r="I60" s="1614"/>
      <c r="J60" s="1634"/>
      <c r="K60" s="1634"/>
      <c r="L60" s="1557"/>
    </row>
    <row r="61" spans="1:12" ht="11.25" customHeight="1" x14ac:dyDescent="0.25">
      <c r="A61" s="254" t="s">
        <v>321</v>
      </c>
      <c r="B61" s="182"/>
      <c r="C61" s="1614"/>
      <c r="D61" s="1614"/>
      <c r="E61" s="1634"/>
      <c r="F61" s="1635"/>
      <c r="G61" s="1053"/>
      <c r="H61" s="1053"/>
      <c r="I61" s="1614"/>
      <c r="J61" s="1634"/>
      <c r="K61" s="1634"/>
      <c r="L61" s="1557"/>
    </row>
    <row r="62" spans="1:12" ht="11.25" customHeight="1" x14ac:dyDescent="0.25">
      <c r="A62" s="254" t="s">
        <v>633</v>
      </c>
      <c r="B62" s="182"/>
      <c r="C62" s="1614"/>
      <c r="D62" s="1614"/>
      <c r="E62" s="1634"/>
      <c r="F62" s="1635"/>
      <c r="G62" s="1053"/>
      <c r="H62" s="1053"/>
      <c r="I62" s="1614"/>
      <c r="J62" s="1634"/>
      <c r="K62" s="1634"/>
      <c r="L62" s="1557"/>
    </row>
    <row r="63" spans="1:12" ht="11.25" customHeight="1" x14ac:dyDescent="0.25">
      <c r="A63" s="250" t="s">
        <v>292</v>
      </c>
      <c r="B63" s="182"/>
      <c r="C63" s="1656">
        <v>11788531</v>
      </c>
      <c r="D63" s="1656">
        <f>2763191</f>
        <v>2763191</v>
      </c>
      <c r="E63" s="1657">
        <f>816400+3846809</f>
        <v>4663209</v>
      </c>
      <c r="F63" s="1658">
        <v>705303</v>
      </c>
      <c r="G63" s="1053">
        <f>F63+-126761</f>
        <v>578542</v>
      </c>
      <c r="H63" s="1053">
        <f>G63</f>
        <v>578542</v>
      </c>
      <c r="I63" s="1656">
        <v>1800000</v>
      </c>
      <c r="J63" s="1657">
        <v>1889700</v>
      </c>
      <c r="K63" s="1657">
        <v>1980870</v>
      </c>
      <c r="L63" s="1557"/>
    </row>
    <row r="64" spans="1:12" ht="5.15" customHeight="1" x14ac:dyDescent="0.25">
      <c r="A64" s="844"/>
      <c r="B64" s="182"/>
      <c r="C64" s="203"/>
      <c r="D64" s="203"/>
      <c r="E64" s="204"/>
      <c r="F64" s="205"/>
      <c r="G64" s="203"/>
      <c r="H64" s="202"/>
      <c r="I64" s="205"/>
      <c r="J64" s="203"/>
      <c r="K64" s="204"/>
      <c r="L64" s="370"/>
    </row>
    <row r="65" spans="1:12" ht="13.5" customHeight="1" x14ac:dyDescent="0.25">
      <c r="A65" s="249" t="s">
        <v>1528</v>
      </c>
      <c r="B65" s="182"/>
      <c r="C65" s="203">
        <f>SUM(C66:C67)</f>
        <v>0</v>
      </c>
      <c r="D65" s="203">
        <f t="shared" ref="D65:K65" si="11">SUM(D66:D67)</f>
        <v>0</v>
      </c>
      <c r="E65" s="204">
        <f t="shared" si="11"/>
        <v>0</v>
      </c>
      <c r="F65" s="205">
        <f t="shared" si="11"/>
        <v>0</v>
      </c>
      <c r="G65" s="203">
        <f t="shared" si="11"/>
        <v>0</v>
      </c>
      <c r="H65" s="202">
        <f t="shared" si="11"/>
        <v>0</v>
      </c>
      <c r="I65" s="205">
        <f t="shared" si="11"/>
        <v>0</v>
      </c>
      <c r="J65" s="203">
        <f t="shared" si="11"/>
        <v>0</v>
      </c>
      <c r="K65" s="204">
        <f t="shared" si="11"/>
        <v>0</v>
      </c>
      <c r="L65" s="370"/>
    </row>
    <row r="66" spans="1:12" ht="11.25" customHeight="1" x14ac:dyDescent="0.25">
      <c r="A66" s="1938" t="s">
        <v>1254</v>
      </c>
      <c r="B66" s="182"/>
      <c r="C66" s="1619"/>
      <c r="D66" s="1619"/>
      <c r="E66" s="1888"/>
      <c r="F66" s="1957"/>
      <c r="G66" s="1619"/>
      <c r="H66" s="1977"/>
      <c r="I66" s="1957"/>
      <c r="J66" s="1619"/>
      <c r="K66" s="1888"/>
      <c r="L66" s="370"/>
    </row>
    <row r="67" spans="1:12" ht="11.25" customHeight="1" x14ac:dyDescent="0.25">
      <c r="A67" s="1938"/>
      <c r="B67" s="182"/>
      <c r="C67" s="1656"/>
      <c r="D67" s="1656"/>
      <c r="E67" s="1657"/>
      <c r="F67" s="1658"/>
      <c r="G67" s="1656"/>
      <c r="H67" s="1659"/>
      <c r="I67" s="1658"/>
      <c r="J67" s="1656"/>
      <c r="K67" s="1657"/>
      <c r="L67" s="370"/>
    </row>
    <row r="68" spans="1:12" ht="5.15" customHeight="1" x14ac:dyDescent="0.25">
      <c r="A68" s="844"/>
      <c r="B68" s="182"/>
      <c r="C68" s="203"/>
      <c r="D68" s="203"/>
      <c r="E68" s="204"/>
      <c r="F68" s="205"/>
      <c r="G68" s="203"/>
      <c r="H68" s="202"/>
      <c r="I68" s="205"/>
      <c r="J68" s="203"/>
      <c r="K68" s="204"/>
      <c r="L68" s="370"/>
    </row>
    <row r="69" spans="1:12" ht="13.5" customHeight="1" x14ac:dyDescent="0.25">
      <c r="A69" s="249" t="s">
        <v>136</v>
      </c>
      <c r="B69" s="182"/>
      <c r="C69" s="203">
        <f>SUM(C70:C71)</f>
        <v>0</v>
      </c>
      <c r="D69" s="203">
        <f t="shared" ref="D69:K69" si="12">SUM(D70:D71)</f>
        <v>0</v>
      </c>
      <c r="E69" s="204">
        <f t="shared" si="12"/>
        <v>0</v>
      </c>
      <c r="F69" s="205">
        <f t="shared" si="12"/>
        <v>0</v>
      </c>
      <c r="G69" s="203">
        <f t="shared" si="12"/>
        <v>0</v>
      </c>
      <c r="H69" s="202">
        <f t="shared" si="12"/>
        <v>0</v>
      </c>
      <c r="I69" s="205">
        <f t="shared" si="12"/>
        <v>0</v>
      </c>
      <c r="J69" s="203">
        <f t="shared" si="12"/>
        <v>0</v>
      </c>
      <c r="K69" s="204">
        <f t="shared" si="12"/>
        <v>0</v>
      </c>
      <c r="L69" s="370"/>
    </row>
    <row r="70" spans="1:12" ht="11.25" customHeight="1" x14ac:dyDescent="0.25">
      <c r="A70" s="1938" t="s">
        <v>1254</v>
      </c>
      <c r="B70" s="182"/>
      <c r="C70" s="1619"/>
      <c r="D70" s="1619"/>
      <c r="E70" s="1888"/>
      <c r="F70" s="1957"/>
      <c r="G70" s="1619"/>
      <c r="H70" s="1977"/>
      <c r="I70" s="1957"/>
      <c r="J70" s="1619"/>
      <c r="K70" s="1888"/>
      <c r="L70" s="370"/>
    </row>
    <row r="71" spans="1:12" ht="11.25" customHeight="1" x14ac:dyDescent="0.25">
      <c r="A71" s="1938"/>
      <c r="B71" s="182"/>
      <c r="C71" s="1656"/>
      <c r="D71" s="1656"/>
      <c r="E71" s="1657"/>
      <c r="F71" s="1658"/>
      <c r="G71" s="1656"/>
      <c r="H71" s="1659"/>
      <c r="I71" s="1658"/>
      <c r="J71" s="1656"/>
      <c r="K71" s="1657"/>
      <c r="L71" s="370"/>
    </row>
    <row r="72" spans="1:12" ht="5.15" customHeight="1" x14ac:dyDescent="0.25">
      <c r="A72" s="273"/>
      <c r="B72" s="182"/>
      <c r="C72" s="203"/>
      <c r="D72" s="203"/>
      <c r="E72" s="204"/>
      <c r="F72" s="205"/>
      <c r="G72" s="203"/>
      <c r="H72" s="202"/>
      <c r="I72" s="205"/>
      <c r="J72" s="203"/>
      <c r="K72" s="204"/>
      <c r="L72" s="370"/>
    </row>
    <row r="73" spans="1:12" ht="17.25" customHeight="1" x14ac:dyDescent="0.25">
      <c r="A73" s="249" t="s">
        <v>882</v>
      </c>
      <c r="B73" s="182"/>
      <c r="C73" s="203">
        <f>SUM(C74:C75)</f>
        <v>0</v>
      </c>
      <c r="D73" s="203">
        <f t="shared" ref="D73:K73" si="13">SUM(D74:D75)</f>
        <v>0</v>
      </c>
      <c r="E73" s="204">
        <f t="shared" si="13"/>
        <v>0</v>
      </c>
      <c r="F73" s="205">
        <f t="shared" si="13"/>
        <v>0</v>
      </c>
      <c r="G73" s="203">
        <f t="shared" si="13"/>
        <v>0</v>
      </c>
      <c r="H73" s="202">
        <f t="shared" si="13"/>
        <v>0</v>
      </c>
      <c r="I73" s="205">
        <f t="shared" si="13"/>
        <v>0</v>
      </c>
      <c r="J73" s="203">
        <f t="shared" si="13"/>
        <v>0</v>
      </c>
      <c r="K73" s="204">
        <f t="shared" si="13"/>
        <v>0</v>
      </c>
      <c r="L73" s="370"/>
    </row>
    <row r="74" spans="1:12" ht="11.25" customHeight="1" x14ac:dyDescent="0.25">
      <c r="A74" s="254" t="s">
        <v>970</v>
      </c>
      <c r="B74" s="182"/>
      <c r="C74" s="1619"/>
      <c r="D74" s="1619"/>
      <c r="E74" s="1888"/>
      <c r="F74" s="1957"/>
      <c r="G74" s="1619"/>
      <c r="H74" s="1977"/>
      <c r="I74" s="1957"/>
      <c r="J74" s="1619"/>
      <c r="K74" s="1888"/>
      <c r="L74" s="370"/>
    </row>
    <row r="75" spans="1:12" ht="11.25" customHeight="1" x14ac:dyDescent="0.25">
      <c r="A75" s="1913" t="s">
        <v>614</v>
      </c>
      <c r="B75" s="182"/>
      <c r="C75" s="1656"/>
      <c r="D75" s="1656"/>
      <c r="E75" s="1657"/>
      <c r="F75" s="1658"/>
      <c r="G75" s="1656"/>
      <c r="H75" s="1659"/>
      <c r="I75" s="1658"/>
      <c r="J75" s="1656"/>
      <c r="K75" s="1657"/>
      <c r="L75" s="370"/>
    </row>
    <row r="76" spans="1:12" ht="5.15" customHeight="1" x14ac:dyDescent="0.25">
      <c r="A76" s="273"/>
      <c r="B76" s="182"/>
      <c r="C76" s="218"/>
      <c r="D76" s="218"/>
      <c r="E76" s="219"/>
      <c r="F76" s="220"/>
      <c r="G76" s="218"/>
      <c r="H76" s="217"/>
      <c r="I76" s="220"/>
      <c r="J76" s="218"/>
      <c r="K76" s="219"/>
      <c r="L76" s="370"/>
    </row>
    <row r="77" spans="1:12" x14ac:dyDescent="0.25">
      <c r="A77" s="281" t="s">
        <v>1224</v>
      </c>
      <c r="B77" s="225">
        <v>1</v>
      </c>
      <c r="C77" s="230">
        <f t="shared" ref="C77:K77" si="14">C6+C27+C43+C47+C51+C73+C65+C69</f>
        <v>118193522</v>
      </c>
      <c r="D77" s="230">
        <f t="shared" si="14"/>
        <v>65647837</v>
      </c>
      <c r="E77" s="228">
        <f t="shared" si="14"/>
        <v>39509687</v>
      </c>
      <c r="F77" s="229">
        <f t="shared" si="14"/>
        <v>89185350</v>
      </c>
      <c r="G77" s="230">
        <f>G6+G27+G43+G47+G51+G73+G65+G69</f>
        <v>89288289</v>
      </c>
      <c r="H77" s="231">
        <f t="shared" si="14"/>
        <v>89288472</v>
      </c>
      <c r="I77" s="229">
        <f t="shared" si="14"/>
        <v>95313927</v>
      </c>
      <c r="J77" s="230">
        <f t="shared" si="14"/>
        <v>99642784</v>
      </c>
      <c r="K77" s="228">
        <f t="shared" si="14"/>
        <v>130802463</v>
      </c>
      <c r="L77" s="370"/>
    </row>
    <row r="78" spans="1:12" x14ac:dyDescent="0.25">
      <c r="A78" s="2446"/>
      <c r="B78" s="2447"/>
      <c r="C78" s="1276"/>
      <c r="D78" s="1276"/>
      <c r="E78" s="1276"/>
      <c r="F78" s="1276"/>
      <c r="G78" s="1276"/>
      <c r="H78" s="1276"/>
      <c r="I78" s="1276"/>
      <c r="J78" s="1276"/>
      <c r="K78" s="1276"/>
      <c r="L78" s="370"/>
    </row>
    <row r="79" spans="1:12" x14ac:dyDescent="0.25">
      <c r="A79" s="1560" t="s">
        <v>32</v>
      </c>
      <c r="B79" s="2443"/>
      <c r="C79" s="1301">
        <f t="shared" ref="C79:K79" si="15">SUM(C80:C83)</f>
        <v>4348693</v>
      </c>
      <c r="D79" s="1297">
        <f t="shared" si="15"/>
        <v>0</v>
      </c>
      <c r="E79" s="1562">
        <f t="shared" si="15"/>
        <v>0</v>
      </c>
      <c r="F79" s="1301">
        <f t="shared" si="15"/>
        <v>0</v>
      </c>
      <c r="G79" s="1297">
        <f t="shared" si="15"/>
        <v>0</v>
      </c>
      <c r="H79" s="1562">
        <f t="shared" si="15"/>
        <v>0</v>
      </c>
      <c r="I79" s="1301">
        <f t="shared" si="15"/>
        <v>0</v>
      </c>
      <c r="J79" s="1297">
        <f t="shared" si="15"/>
        <v>0</v>
      </c>
      <c r="K79" s="1562">
        <f t="shared" si="15"/>
        <v>0</v>
      </c>
      <c r="L79" s="370"/>
    </row>
    <row r="80" spans="1:12" x14ac:dyDescent="0.25">
      <c r="A80" s="190" t="s">
        <v>1287</v>
      </c>
      <c r="B80" s="2444"/>
      <c r="C80" s="1616"/>
      <c r="D80" s="1614"/>
      <c r="E80" s="1617"/>
      <c r="F80" s="1616"/>
      <c r="G80" s="1614"/>
      <c r="H80" s="1617"/>
      <c r="I80" s="1616"/>
      <c r="J80" s="1614"/>
      <c r="K80" s="1617"/>
      <c r="L80" s="370"/>
    </row>
    <row r="81" spans="1:12" x14ac:dyDescent="0.25">
      <c r="A81" s="190" t="s">
        <v>1514</v>
      </c>
      <c r="B81" s="2444"/>
      <c r="C81" s="1616">
        <v>4348693</v>
      </c>
      <c r="D81" s="1614"/>
      <c r="E81" s="1617"/>
      <c r="F81" s="1616"/>
      <c r="G81" s="1614"/>
      <c r="H81" s="1617"/>
      <c r="I81" s="1616"/>
      <c r="J81" s="1614"/>
      <c r="K81" s="1617"/>
      <c r="L81" s="370"/>
    </row>
    <row r="82" spans="1:12" x14ac:dyDescent="0.25">
      <c r="A82" s="190" t="s">
        <v>1712</v>
      </c>
      <c r="B82" s="2444"/>
      <c r="C82" s="1616"/>
      <c r="D82" s="1614"/>
      <c r="E82" s="1617"/>
      <c r="F82" s="1616"/>
      <c r="G82" s="1614"/>
      <c r="H82" s="1617"/>
      <c r="I82" s="1616"/>
      <c r="J82" s="1614"/>
      <c r="K82" s="1617"/>
      <c r="L82" s="370"/>
    </row>
    <row r="83" spans="1:12" x14ac:dyDescent="0.25">
      <c r="A83" s="1314" t="s">
        <v>1713</v>
      </c>
      <c r="B83" s="2445"/>
      <c r="C83" s="1695"/>
      <c r="D83" s="1691"/>
      <c r="E83" s="1984"/>
      <c r="F83" s="1695"/>
      <c r="G83" s="1691"/>
      <c r="H83" s="1984"/>
      <c r="I83" s="1695"/>
      <c r="J83" s="1691"/>
      <c r="K83" s="1984"/>
      <c r="L83" s="370"/>
    </row>
    <row r="84" spans="1:12" s="360" customFormat="1" ht="4.5" customHeight="1" x14ac:dyDescent="0.25">
      <c r="A84" s="325"/>
      <c r="B84" s="430"/>
      <c r="C84" s="1332"/>
      <c r="D84" s="1332"/>
      <c r="E84" s="1332"/>
      <c r="F84" s="1332"/>
      <c r="G84" s="1332"/>
      <c r="H84" s="1332"/>
      <c r="I84" s="1332"/>
      <c r="J84" s="1332"/>
      <c r="K84" s="1332"/>
    </row>
    <row r="85" spans="1:12" x14ac:dyDescent="0.25">
      <c r="A85" s="2448" t="s">
        <v>926</v>
      </c>
      <c r="B85" s="2449"/>
      <c r="C85" s="2450">
        <f>IF(ISERROR(ROUND(C77/'A6-FinPos'!C19,3)),0,(ROUND(C77/'A6-FinPos'!C19,3)))</f>
        <v>1.9E-2</v>
      </c>
      <c r="D85" s="2450">
        <f>IF(ISERROR(ROUND(D77/'A6-FinPos'!D19,3)),0,(ROUND(D77/'A6-FinPos'!D19,3)))</f>
        <v>0.01</v>
      </c>
      <c r="E85" s="2451">
        <f>IF(ISERROR(ROUND(E77/'A6-FinPos'!E19,3)),0,(ROUND(E77/'A6-FinPos'!E19,3)))</f>
        <v>6.0000000000000001E-3</v>
      </c>
      <c r="F85" s="2452">
        <f>IF(ISERROR(ROUND(F77/'A6-FinPos'!F19,3)),0,(ROUND(F77/'A6-FinPos'!F19,3)))</f>
        <v>1.2999999999999999E-2</v>
      </c>
      <c r="G85" s="2450">
        <f>IF(ISERROR(ROUND(G77/'A6-FinPos'!G19,3)),0,(ROUND(G77/'A6-FinPos'!G19,3)))</f>
        <v>1.2999999999999999E-2</v>
      </c>
      <c r="H85" s="2453">
        <f>IF(ISERROR(ROUND(H77/'A6-FinPos'!H19,3)),0,(ROUND(H77/'A6-FinPos'!H19,3)))</f>
        <v>1.2999999999999999E-2</v>
      </c>
      <c r="I85" s="2454">
        <f>IF(ISERROR(ROUND(I77/'A6-FinPos'!J19,3)),0,(ROUND(I77/'A6-FinPos'!J19,3)))</f>
        <v>1.4999999999999999E-2</v>
      </c>
      <c r="J85" s="2450">
        <f>IF(ISERROR(ROUND(J77/'A6-FinPos'!K19,3)),0,(ROUND(J77/'A6-FinPos'!K19,3)))</f>
        <v>1.4999999999999999E-2</v>
      </c>
      <c r="K85" s="2451">
        <f>IF(ISERROR(ROUND(K77/'A6-FinPos'!L19,3)),0,(ROUND(K77/'A6-FinPos'!L19,3)))</f>
        <v>0.02</v>
      </c>
      <c r="L85" s="370"/>
    </row>
    <row r="86" spans="1:12" x14ac:dyDescent="0.25">
      <c r="A86" s="2436" t="s">
        <v>2078</v>
      </c>
      <c r="B86" s="2437"/>
      <c r="C86" s="2438">
        <f>IF(ISERROR(ROUND(C77/'A1-Sum'!B18,3)),0,(ROUND(C77/'A1-Sum'!B18,3)))</f>
        <v>4.2000000000000003E-2</v>
      </c>
      <c r="D86" s="2438">
        <f>IF(ISERROR(ROUND(D77/'A1-Sum'!C18,3)),0,(ROUND(D77/'A1-Sum'!C18,3)))</f>
        <v>2.3E-2</v>
      </c>
      <c r="E86" s="2439">
        <f>IF(ISERROR(ROUND(E77/'A1-Sum'!D18,3)),0,(ROUND(E77/'A1-Sum'!D18,3)))</f>
        <v>1.4999999999999999E-2</v>
      </c>
      <c r="F86" s="2440">
        <f>IF(ISERROR(ROUND(F77/'A1-Sum'!E18,3)),0,(ROUND(F77/'A1-Sum'!E18,3)))</f>
        <v>0.03</v>
      </c>
      <c r="G86" s="2438">
        <f>IF(ISERROR(ROUND(G77/'A1-Sum'!F18,3)),0,(ROUND(G77/'A1-Sum'!F18,3)))</f>
        <v>2.9000000000000001E-2</v>
      </c>
      <c r="H86" s="2441">
        <f>IF(ISERROR(ROUND(H77/'A1-Sum'!G18,3)),0,(ROUND(H77/'A1-Sum'!G18,3)))</f>
        <v>2.9000000000000001E-2</v>
      </c>
      <c r="I86" s="2442">
        <f>IF(ISERROR(ROUND(I77/'A1-Sum'!I18,3)),0,(ROUND(I77/'A1-Sum'!I18,3)))</f>
        <v>2.7E-2</v>
      </c>
      <c r="J86" s="2438">
        <f>IF(ISERROR(ROUND(J77/'A1-Sum'!J18,3)),0,(ROUND(J77/'A1-Sum'!J18,3)))</f>
        <v>2.7E-2</v>
      </c>
      <c r="K86" s="2439">
        <f>IF(ISERROR(ROUND(K77/'A1-Sum'!K18,3)),0,(ROUND(K77/'A1-Sum'!K18,3)))</f>
        <v>3.3000000000000002E-2</v>
      </c>
      <c r="L86" s="370"/>
    </row>
    <row r="87" spans="1:12" s="709" customFormat="1" x14ac:dyDescent="0.25">
      <c r="A87" s="1261" t="str">
        <f>head27a</f>
        <v>References</v>
      </c>
      <c r="B87" s="1038"/>
      <c r="C87" s="1042"/>
      <c r="D87" s="1042"/>
      <c r="E87" s="1042"/>
      <c r="F87" s="1042"/>
      <c r="G87" s="1042"/>
      <c r="H87" s="1042"/>
      <c r="I87" s="1042"/>
      <c r="J87" s="1042"/>
      <c r="K87" s="1042"/>
      <c r="L87" s="1558"/>
    </row>
    <row r="88" spans="1:12" s="709" customFormat="1" ht="11.25" customHeight="1" x14ac:dyDescent="0.25">
      <c r="A88" s="1262" t="s">
        <v>1225</v>
      </c>
      <c r="B88" s="1038"/>
      <c r="C88" s="1041"/>
      <c r="D88" s="1041"/>
      <c r="E88" s="1042"/>
      <c r="F88" s="1042"/>
      <c r="G88" s="1042"/>
      <c r="H88" s="1042"/>
      <c r="I88" s="1042"/>
      <c r="J88" s="1042"/>
      <c r="K88" s="1042"/>
    </row>
    <row r="89" spans="1:12" s="709" customFormat="1" ht="11.25" customHeight="1" x14ac:dyDescent="0.25">
      <c r="A89" s="1262" t="s">
        <v>319</v>
      </c>
      <c r="B89" s="1038"/>
      <c r="C89" s="1041"/>
      <c r="D89" s="1041"/>
      <c r="E89" s="1042"/>
      <c r="F89" s="1042"/>
      <c r="G89" s="1042"/>
      <c r="H89" s="1042"/>
      <c r="I89" s="1042"/>
      <c r="J89" s="1042"/>
      <c r="K89" s="1042"/>
    </row>
    <row r="90" spans="1:12" s="709" customFormat="1" ht="11.25" customHeight="1" x14ac:dyDescent="0.25">
      <c r="A90" s="1262" t="s">
        <v>912</v>
      </c>
      <c r="B90" s="1038"/>
      <c r="C90" s="1041"/>
      <c r="D90" s="1041"/>
      <c r="E90" s="1042"/>
      <c r="F90" s="1042"/>
      <c r="G90" s="1042"/>
      <c r="H90" s="1042"/>
      <c r="I90" s="1042"/>
      <c r="J90" s="1042"/>
      <c r="K90" s="1042"/>
    </row>
    <row r="91" spans="1:12" s="709" customFormat="1" ht="11.25" customHeight="1" x14ac:dyDescent="0.25">
      <c r="A91" s="1262" t="s">
        <v>323</v>
      </c>
      <c r="B91" s="1038"/>
      <c r="C91" s="1041"/>
      <c r="D91" s="1041"/>
      <c r="E91" s="1042"/>
      <c r="F91" s="1042"/>
      <c r="G91" s="1042"/>
      <c r="H91" s="1042"/>
      <c r="I91" s="1042"/>
      <c r="J91" s="1042"/>
      <c r="K91" s="1042"/>
    </row>
    <row r="92" spans="1:12" s="709" customFormat="1" ht="11.25" customHeight="1" x14ac:dyDescent="0.25">
      <c r="A92" s="1262" t="s">
        <v>133</v>
      </c>
      <c r="B92" s="1038"/>
      <c r="C92" s="1041"/>
      <c r="D92" s="1041"/>
      <c r="E92" s="1042"/>
      <c r="F92" s="1042"/>
      <c r="G92" s="1042"/>
      <c r="H92" s="1042"/>
      <c r="I92" s="1042"/>
      <c r="J92" s="1042"/>
      <c r="K92" s="1042"/>
    </row>
    <row r="93" spans="1:12" s="709" customFormat="1" ht="11.25" customHeight="1" x14ac:dyDescent="0.25">
      <c r="A93" s="1262" t="s">
        <v>1653</v>
      </c>
      <c r="B93" s="1038"/>
      <c r="C93" s="1041"/>
      <c r="D93" s="1041"/>
      <c r="E93" s="1042"/>
      <c r="F93" s="1042"/>
      <c r="G93" s="1042"/>
      <c r="H93" s="1042"/>
      <c r="I93" s="1042"/>
      <c r="J93" s="1042"/>
      <c r="K93" s="1042"/>
    </row>
    <row r="94" spans="1:12" s="709" customFormat="1" ht="11.25" customHeight="1" x14ac:dyDescent="0.25">
      <c r="A94" s="1515" t="s">
        <v>33</v>
      </c>
      <c r="B94" s="1038"/>
      <c r="C94" s="1041"/>
      <c r="D94" s="1041"/>
      <c r="E94" s="1042"/>
      <c r="F94" s="1042"/>
      <c r="G94" s="1042"/>
      <c r="H94" s="1042"/>
      <c r="I94" s="1042"/>
      <c r="J94" s="1042"/>
      <c r="K94" s="1042"/>
    </row>
    <row r="95" spans="1:12" s="709" customFormat="1" ht="11.25" customHeight="1" x14ac:dyDescent="0.25">
      <c r="A95" s="1515" t="s">
        <v>1332</v>
      </c>
      <c r="B95" s="1038"/>
      <c r="C95" s="1041"/>
      <c r="D95" s="1041"/>
      <c r="E95" s="1042"/>
      <c r="F95" s="1042"/>
      <c r="G95" s="1042"/>
      <c r="H95" s="1042"/>
      <c r="I95" s="1042"/>
      <c r="J95" s="1042"/>
      <c r="K95" s="1042"/>
    </row>
    <row r="96" spans="1:12" s="709" customFormat="1" ht="11.25" customHeight="1" x14ac:dyDescent="0.25">
      <c r="A96" s="1515" t="s">
        <v>1333</v>
      </c>
      <c r="B96" s="1038"/>
      <c r="C96" s="1041"/>
      <c r="D96" s="1041"/>
      <c r="E96" s="1042"/>
      <c r="F96" s="1042"/>
      <c r="G96" s="1042"/>
      <c r="H96" s="1042"/>
      <c r="I96" s="1042"/>
      <c r="J96" s="1042"/>
      <c r="K96" s="1042"/>
    </row>
    <row r="97" spans="1:11" s="709" customFormat="1" ht="11.25" customHeight="1" x14ac:dyDescent="0.25">
      <c r="A97" s="1515" t="s">
        <v>386</v>
      </c>
      <c r="B97" s="1038"/>
      <c r="C97" s="1041"/>
      <c r="D97" s="1041"/>
      <c r="E97" s="1042"/>
      <c r="F97" s="1042"/>
      <c r="G97" s="1042"/>
      <c r="H97" s="1042"/>
      <c r="I97" s="1042"/>
      <c r="J97" s="1042"/>
      <c r="K97" s="1042"/>
    </row>
    <row r="98" spans="1:11" s="709" customFormat="1" ht="11.25" customHeight="1" x14ac:dyDescent="0.25">
      <c r="A98" s="1059"/>
      <c r="B98" s="1038"/>
      <c r="C98" s="1041"/>
      <c r="D98" s="1041"/>
      <c r="E98" s="1042"/>
      <c r="F98" s="1042"/>
      <c r="G98" s="1042"/>
      <c r="H98" s="1042"/>
      <c r="I98" s="1042"/>
      <c r="J98" s="1042"/>
      <c r="K98" s="1042"/>
    </row>
    <row r="99" spans="1:11" ht="11.25" customHeight="1" x14ac:dyDescent="0.25">
      <c r="A99" s="246"/>
      <c r="B99" s="236"/>
      <c r="C99" s="240"/>
      <c r="D99" s="240"/>
      <c r="E99" s="241"/>
      <c r="F99" s="241"/>
      <c r="G99" s="241"/>
      <c r="H99" s="241"/>
      <c r="I99" s="241"/>
      <c r="J99" s="241"/>
      <c r="K99" s="241"/>
    </row>
    <row r="100" spans="1:11" ht="11.25" customHeight="1" x14ac:dyDescent="0.25">
      <c r="A100" s="288" t="s">
        <v>295</v>
      </c>
      <c r="B100" s="243"/>
      <c r="C100" s="255">
        <f>C77-'SA1'!C160</f>
        <v>51908832</v>
      </c>
      <c r="D100" s="255">
        <f>D77-'SA1'!D160</f>
        <v>-58148655163</v>
      </c>
      <c r="E100" s="255">
        <f>E77-'SA1'!E160</f>
        <v>2</v>
      </c>
      <c r="F100" s="255">
        <f>F77-'SA1'!F160</f>
        <v>0</v>
      </c>
      <c r="G100" s="255">
        <f>G77-'SA1'!G160</f>
        <v>289</v>
      </c>
      <c r="H100" s="255">
        <f>H77-'SA1'!H160</f>
        <v>472</v>
      </c>
      <c r="I100" s="255">
        <f>I77-'SA1'!J160</f>
        <v>0</v>
      </c>
      <c r="J100" s="255">
        <f>J77-'SA1'!K160</f>
        <v>0</v>
      </c>
      <c r="K100" s="255">
        <f>K77-'SA1'!L160</f>
        <v>0</v>
      </c>
    </row>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sheetData>
  <sheetProtection sheet="1" objects="1" scenarios="1"/>
  <mergeCells count="2">
    <mergeCell ref="F2:H2"/>
    <mergeCell ref="I2:K2"/>
  </mergeCells>
  <phoneticPr fontId="2" type="noConversion"/>
  <pageMargins left="0.75" right="0.75" top="1" bottom="1" header="0.5" footer="0.5"/>
  <pageSetup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2"/>
  </sheetPr>
  <dimension ref="A1:O132"/>
  <sheetViews>
    <sheetView showGridLines="0" zoomScaleNormal="100" workbookViewId="0">
      <pane xSplit="2" ySplit="3" topLeftCell="C85" activePane="bottomRight" state="frozen"/>
      <selection pane="topRight"/>
      <selection pane="bottomLeft"/>
      <selection pane="bottomRight" activeCell="J105" sqref="J105"/>
    </sheetView>
  </sheetViews>
  <sheetFormatPr defaultColWidth="9.1796875" defaultRowHeight="10.5" x14ac:dyDescent="0.25"/>
  <cols>
    <col min="1" max="1" width="30.7265625" style="149" customWidth="1"/>
    <col min="2" max="2" width="3" style="247" customWidth="1"/>
    <col min="3" max="11" width="9.26953125" style="149" customWidth="1"/>
    <col min="12" max="12" width="9.7265625" style="149" customWidth="1"/>
    <col min="13" max="13" width="9.54296875" style="149" customWidth="1"/>
    <col min="14" max="14" width="9.81640625" style="149" customWidth="1"/>
    <col min="15" max="17" width="9.54296875" style="149" customWidth="1"/>
    <col min="18" max="18" width="9.81640625" style="149" customWidth="1"/>
    <col min="19" max="21" width="9.54296875" style="149" customWidth="1"/>
    <col min="22" max="23" width="9.81640625" style="149" customWidth="1"/>
    <col min="24" max="16384" width="9.1796875" style="149"/>
  </cols>
  <sheetData>
    <row r="1" spans="1:12" ht="13.5" customHeight="1" x14ac:dyDescent="0.3">
      <c r="A1" s="147" t="str">
        <f>muni&amp;" - "&amp;TableA34d</f>
        <v>KZN225 Msunduzi - Supporting Table SA34d Consolidated Depreciation by asset class</v>
      </c>
      <c r="B1" s="147"/>
      <c r="C1" s="147"/>
      <c r="D1" s="147"/>
      <c r="E1" s="147"/>
      <c r="F1" s="147"/>
      <c r="G1" s="147"/>
      <c r="H1" s="147"/>
      <c r="I1" s="147"/>
      <c r="J1" s="147"/>
      <c r="K1" s="147"/>
    </row>
    <row r="2" spans="1:12" ht="28.5" customHeight="1" x14ac:dyDescent="0.25">
      <c r="A2" s="985" t="str">
        <f>desc</f>
        <v>Description</v>
      </c>
      <c r="B2" s="419" t="str">
        <f>head27</f>
        <v>Ref</v>
      </c>
      <c r="C2" s="150" t="str">
        <f>head1b</f>
        <v>2009/10</v>
      </c>
      <c r="D2" s="756" t="str">
        <f>head1A</f>
        <v>2010/11</v>
      </c>
      <c r="E2" s="146" t="str">
        <f>Head1</f>
        <v>2011/12</v>
      </c>
      <c r="F2" s="2677" t="str">
        <f>Head2</f>
        <v>Current Year 2012/13</v>
      </c>
      <c r="G2" s="2678"/>
      <c r="H2" s="2678"/>
      <c r="I2" s="2674" t="str">
        <f>Head3</f>
        <v>2013/14 Medium Term Revenue &amp; Expenditure Framework</v>
      </c>
      <c r="J2" s="2675"/>
      <c r="K2" s="2676"/>
    </row>
    <row r="3" spans="1:12" ht="21" x14ac:dyDescent="0.25">
      <c r="A3" s="180" t="s">
        <v>665</v>
      </c>
      <c r="B3" s="986">
        <v>1</v>
      </c>
      <c r="C3" s="390" t="str">
        <f>Head5</f>
        <v>Audited Outcome</v>
      </c>
      <c r="D3" s="999" t="str">
        <f>Head5</f>
        <v>Audited Outcome</v>
      </c>
      <c r="E3" s="391" t="str">
        <f>Head5</f>
        <v>Audited Outcome</v>
      </c>
      <c r="F3" s="299" t="str">
        <f>Head6</f>
        <v>Original Budget</v>
      </c>
      <c r="G3" s="390" t="str">
        <f>Head7</f>
        <v>Adjusted Budget</v>
      </c>
      <c r="H3" s="389" t="str">
        <f>Head8</f>
        <v>Full Year Forecast</v>
      </c>
      <c r="I3" s="299" t="str">
        <f>Head9</f>
        <v>Budget Year 2013/14</v>
      </c>
      <c r="J3" s="390" t="str">
        <f>Head10</f>
        <v>Budget Year +1 2014/15</v>
      </c>
      <c r="K3" s="391" t="str">
        <f>Head11</f>
        <v>Budget Year +2 2015/16</v>
      </c>
    </row>
    <row r="4" spans="1:12" ht="11.25" customHeight="1" x14ac:dyDescent="0.25">
      <c r="A4" s="861" t="s">
        <v>2050</v>
      </c>
      <c r="B4" s="749"/>
      <c r="C4" s="1099"/>
      <c r="D4" s="311"/>
      <c r="E4" s="314"/>
      <c r="F4" s="313"/>
      <c r="G4" s="311"/>
      <c r="H4" s="312"/>
      <c r="I4" s="313"/>
      <c r="J4" s="311"/>
      <c r="K4" s="314"/>
      <c r="L4" s="370"/>
    </row>
    <row r="5" spans="1:12" ht="5.15" customHeight="1" x14ac:dyDescent="0.25">
      <c r="A5" s="249"/>
      <c r="B5" s="182"/>
      <c r="C5" s="315"/>
      <c r="D5" s="315"/>
      <c r="E5" s="318"/>
      <c r="F5" s="317"/>
      <c r="G5" s="315"/>
      <c r="H5" s="316"/>
      <c r="I5" s="317"/>
      <c r="J5" s="315"/>
      <c r="K5" s="318"/>
      <c r="L5" s="370"/>
    </row>
    <row r="6" spans="1:12" ht="11.25" customHeight="1" x14ac:dyDescent="0.25">
      <c r="A6" s="249" t="s">
        <v>974</v>
      </c>
      <c r="B6" s="182"/>
      <c r="C6" s="394">
        <f>C7+C10+C14+C18+C21</f>
        <v>90352861.659999996</v>
      </c>
      <c r="D6" s="394">
        <f t="shared" ref="D6:K6" si="0">D7+D10+D14+D18+D21</f>
        <v>21798031.789999999</v>
      </c>
      <c r="E6" s="345">
        <f t="shared" si="0"/>
        <v>105652928.16999999</v>
      </c>
      <c r="F6" s="395">
        <f t="shared" si="0"/>
        <v>23026839.370000005</v>
      </c>
      <c r="G6" s="394">
        <f t="shared" si="0"/>
        <v>40652928.169999994</v>
      </c>
      <c r="H6" s="396">
        <f t="shared" si="0"/>
        <v>40652928.169999994</v>
      </c>
      <c r="I6" s="395">
        <f t="shared" si="0"/>
        <v>63451758.95000001</v>
      </c>
      <c r="J6" s="394">
        <f t="shared" si="0"/>
        <v>88757134.860000014</v>
      </c>
      <c r="K6" s="345">
        <f t="shared" si="0"/>
        <v>120375863.12</v>
      </c>
      <c r="L6" s="1556"/>
    </row>
    <row r="7" spans="1:12" s="1532" customFormat="1" ht="12.5" x14ac:dyDescent="0.25">
      <c r="A7" s="250" t="s">
        <v>534</v>
      </c>
      <c r="B7" s="182"/>
      <c r="C7" s="1110">
        <f>SUM(C8:C9)</f>
        <v>47050077.040000007</v>
      </c>
      <c r="D7" s="1110">
        <f t="shared" ref="D7:K7" si="1">SUM(D8:D9)</f>
        <v>10224519.720000001</v>
      </c>
      <c r="E7" s="1423">
        <f t="shared" si="1"/>
        <v>78155785.569999993</v>
      </c>
      <c r="F7" s="1111">
        <f t="shared" si="1"/>
        <v>10729058</v>
      </c>
      <c r="G7" s="1110">
        <f t="shared" si="1"/>
        <v>13155785.57</v>
      </c>
      <c r="H7" s="1147">
        <f t="shared" si="1"/>
        <v>13155785.57</v>
      </c>
      <c r="I7" s="1424">
        <f t="shared" si="1"/>
        <v>37901929.900000006</v>
      </c>
      <c r="J7" s="1110">
        <f t="shared" si="1"/>
        <v>60652322.890000001</v>
      </c>
      <c r="K7" s="1147">
        <f t="shared" si="1"/>
        <v>89460620.790000007</v>
      </c>
      <c r="L7" s="370"/>
    </row>
    <row r="8" spans="1:12" s="1532" customFormat="1" ht="12.5" x14ac:dyDescent="0.25">
      <c r="A8" s="1289" t="s">
        <v>535</v>
      </c>
      <c r="B8" s="182"/>
      <c r="C8" s="1614">
        <v>35162578.560000002</v>
      </c>
      <c r="D8" s="1614">
        <v>7834999.2400000002</v>
      </c>
      <c r="E8" s="1614">
        <v>64941196.57</v>
      </c>
      <c r="F8" s="1635">
        <v>8339537.5199999996</v>
      </c>
      <c r="G8" s="1614">
        <f>64941196.57-45000000-10000000</f>
        <v>9941196.5700000003</v>
      </c>
      <c r="H8" s="1614">
        <f>64941196.57-45000000-10000000</f>
        <v>9941196.5700000003</v>
      </c>
      <c r="I8" s="1614">
        <f>67415571.56-43612000</f>
        <v>23803571.560000002</v>
      </c>
      <c r="J8" s="1634">
        <f>74157128.72-29013000</f>
        <v>45144128.719999999</v>
      </c>
      <c r="K8" s="1634">
        <f>81560607.2-9159000</f>
        <v>72401607.200000003</v>
      </c>
      <c r="L8" s="1556"/>
    </row>
    <row r="9" spans="1:12" s="1532" customFormat="1" ht="12.5" x14ac:dyDescent="0.25">
      <c r="A9" s="1289" t="s">
        <v>536</v>
      </c>
      <c r="B9" s="182"/>
      <c r="C9" s="1614">
        <v>11887498.48</v>
      </c>
      <c r="D9" s="1614">
        <v>2389520.48</v>
      </c>
      <c r="E9" s="1614">
        <v>13214589</v>
      </c>
      <c r="F9" s="1635">
        <v>2389520.48</v>
      </c>
      <c r="G9" s="1614">
        <f>13214589-10000000</f>
        <v>3214589</v>
      </c>
      <c r="H9" s="1614">
        <f>13214589-10000000</f>
        <v>3214589</v>
      </c>
      <c r="I9" s="1614">
        <v>14098358.34</v>
      </c>
      <c r="J9" s="1634">
        <v>15508194.17</v>
      </c>
      <c r="K9" s="1634">
        <v>17059013.59</v>
      </c>
      <c r="L9" s="1557"/>
    </row>
    <row r="10" spans="1:12" s="1532" customFormat="1" ht="12.5" x14ac:dyDescent="0.25">
      <c r="A10" s="250" t="s">
        <v>21</v>
      </c>
      <c r="B10" s="182"/>
      <c r="C10" s="1063">
        <f>SUM(C11:C13)</f>
        <v>26832533.169999998</v>
      </c>
      <c r="D10" s="1063">
        <f t="shared" ref="D10:K10" si="2">SUM(D11:D13)</f>
        <v>1197051.1200000001</v>
      </c>
      <c r="E10" s="1425">
        <f t="shared" si="2"/>
        <v>3550575.49</v>
      </c>
      <c r="F10" s="1067">
        <f t="shared" si="2"/>
        <v>1358710.31</v>
      </c>
      <c r="G10" s="1063">
        <f t="shared" si="2"/>
        <v>3550575.49</v>
      </c>
      <c r="H10" s="1150">
        <f t="shared" si="2"/>
        <v>3550575.49</v>
      </c>
      <c r="I10" s="1426">
        <f t="shared" si="2"/>
        <v>3821078.45</v>
      </c>
      <c r="J10" s="1063">
        <f t="shared" si="2"/>
        <v>4203186.3</v>
      </c>
      <c r="K10" s="1150">
        <f t="shared" si="2"/>
        <v>4623504.92</v>
      </c>
      <c r="L10" s="1557"/>
    </row>
    <row r="11" spans="1:12" s="1532" customFormat="1" ht="12.5" x14ac:dyDescent="0.25">
      <c r="A11" s="1289" t="s">
        <v>22</v>
      </c>
      <c r="B11" s="182"/>
      <c r="C11" s="1614"/>
      <c r="D11" s="1614"/>
      <c r="E11" s="1614"/>
      <c r="F11" s="1616"/>
      <c r="G11" s="1614"/>
      <c r="H11" s="1614"/>
      <c r="I11" s="1614"/>
      <c r="J11" s="1617"/>
      <c r="K11" s="1617"/>
      <c r="L11" s="1557"/>
    </row>
    <row r="12" spans="1:12" s="1532" customFormat="1" ht="12.5" x14ac:dyDescent="0.25">
      <c r="A12" s="1289" t="s">
        <v>23</v>
      </c>
      <c r="B12" s="182"/>
      <c r="C12" s="1614">
        <v>26252836.59</v>
      </c>
      <c r="D12" s="1614">
        <v>954762.27</v>
      </c>
      <c r="E12" s="1614">
        <v>2746305.6</v>
      </c>
      <c r="F12" s="1616">
        <v>1106403.69</v>
      </c>
      <c r="G12" s="1614">
        <v>2746305.6</v>
      </c>
      <c r="H12" s="1614">
        <v>2746305.6</v>
      </c>
      <c r="I12" s="1614">
        <v>3213927.29</v>
      </c>
      <c r="J12" s="1617">
        <v>3535320.02</v>
      </c>
      <c r="K12" s="1617">
        <v>3888852.02</v>
      </c>
      <c r="L12" s="1557"/>
    </row>
    <row r="13" spans="1:12" s="1532" customFormat="1" ht="12.5" x14ac:dyDescent="0.25">
      <c r="A13" s="1289" t="s">
        <v>137</v>
      </c>
      <c r="B13" s="182"/>
      <c r="C13" s="1614">
        <v>579696.57999999996</v>
      </c>
      <c r="D13" s="1614">
        <v>242288.85</v>
      </c>
      <c r="E13" s="1614">
        <v>804269.89</v>
      </c>
      <c r="F13" s="1616">
        <v>252306.62</v>
      </c>
      <c r="G13" s="1614">
        <v>804269.89</v>
      </c>
      <c r="H13" s="1614">
        <v>804269.89</v>
      </c>
      <c r="I13" s="1614">
        <v>607151.16</v>
      </c>
      <c r="J13" s="1617">
        <v>667866.28</v>
      </c>
      <c r="K13" s="1617">
        <v>734652.9</v>
      </c>
      <c r="L13" s="1557"/>
    </row>
    <row r="14" spans="1:12" s="1532" customFormat="1" ht="12.5" x14ac:dyDescent="0.25">
      <c r="A14" s="254" t="s">
        <v>24</v>
      </c>
      <c r="B14" s="350"/>
      <c r="C14" s="1063">
        <f>SUM(C15:C17)</f>
        <v>8599902.4100000001</v>
      </c>
      <c r="D14" s="1063">
        <f t="shared" ref="D14:K14" si="3">SUM(D15:D17)</f>
        <v>3704419.66</v>
      </c>
      <c r="E14" s="1425">
        <f t="shared" si="3"/>
        <v>8308956.0499999998</v>
      </c>
      <c r="F14" s="1067">
        <f t="shared" si="3"/>
        <v>3759478.54</v>
      </c>
      <c r="G14" s="1063">
        <f t="shared" si="3"/>
        <v>8308956.0499999998</v>
      </c>
      <c r="H14" s="1150">
        <f t="shared" si="3"/>
        <v>8308956.0499999998</v>
      </c>
      <c r="I14" s="1426">
        <f t="shared" si="3"/>
        <v>8119813.9400000004</v>
      </c>
      <c r="J14" s="1063">
        <f t="shared" si="3"/>
        <v>8931795.3399999999</v>
      </c>
      <c r="K14" s="1150">
        <f t="shared" si="3"/>
        <v>9824974.8699999992</v>
      </c>
      <c r="L14" s="1557"/>
    </row>
    <row r="15" spans="1:12" s="1532" customFormat="1" ht="12.5" x14ac:dyDescent="0.25">
      <c r="A15" s="1289" t="s">
        <v>25</v>
      </c>
      <c r="B15" s="182"/>
      <c r="C15" s="1614">
        <v>1160834.82</v>
      </c>
      <c r="D15" s="1614">
        <v>326041.92</v>
      </c>
      <c r="E15" s="1614">
        <v>101400.76</v>
      </c>
      <c r="F15" s="1616">
        <v>355309.13</v>
      </c>
      <c r="G15" s="1614">
        <v>101400.76</v>
      </c>
      <c r="H15" s="1614">
        <v>101400.76</v>
      </c>
      <c r="I15" s="1614">
        <v>64919.71</v>
      </c>
      <c r="J15" s="1617">
        <v>71411.679999999993</v>
      </c>
      <c r="K15" s="1617">
        <v>78552.850000000006</v>
      </c>
      <c r="L15" s="1557"/>
    </row>
    <row r="16" spans="1:12" s="1532" customFormat="1" ht="12.5" x14ac:dyDescent="0.25">
      <c r="A16" s="1289" t="s">
        <v>26</v>
      </c>
      <c r="B16" s="182"/>
      <c r="C16" s="1614"/>
      <c r="D16" s="1614"/>
      <c r="E16" s="1614"/>
      <c r="F16" s="1616"/>
      <c r="G16" s="1614"/>
      <c r="H16" s="1614"/>
      <c r="I16" s="1614"/>
      <c r="J16" s="1617"/>
      <c r="K16" s="1617"/>
      <c r="L16" s="1557"/>
    </row>
    <row r="17" spans="1:12" s="1532" customFormat="1" ht="12.5" x14ac:dyDescent="0.25">
      <c r="A17" s="1289" t="s">
        <v>27</v>
      </c>
      <c r="B17" s="182"/>
      <c r="C17" s="1614">
        <v>7439067.5899999999</v>
      </c>
      <c r="D17" s="1614">
        <v>3378377.74</v>
      </c>
      <c r="E17" s="1614">
        <v>8207555.29</v>
      </c>
      <c r="F17" s="1616">
        <v>3404169.41</v>
      </c>
      <c r="G17" s="1614">
        <v>8207555.29</v>
      </c>
      <c r="H17" s="1614">
        <v>8207555.29</v>
      </c>
      <c r="I17" s="1614">
        <v>8054894.2300000004</v>
      </c>
      <c r="J17" s="1617">
        <v>8860383.6600000001</v>
      </c>
      <c r="K17" s="1617">
        <v>9746422.0199999996</v>
      </c>
      <c r="L17" s="1557"/>
    </row>
    <row r="18" spans="1:12" s="1532" customFormat="1" ht="12.5" x14ac:dyDescent="0.25">
      <c r="A18" s="254" t="s">
        <v>28</v>
      </c>
      <c r="B18" s="182"/>
      <c r="C18" s="1063">
        <f t="shared" ref="C18:K18" si="4">SUM(C19:C20)</f>
        <v>5005660.96</v>
      </c>
      <c r="D18" s="1063">
        <f t="shared" si="4"/>
        <v>2940545.9</v>
      </c>
      <c r="E18" s="1425">
        <f t="shared" si="4"/>
        <v>11765439.050000001</v>
      </c>
      <c r="F18" s="1067">
        <f t="shared" si="4"/>
        <v>3435062.67</v>
      </c>
      <c r="G18" s="1063">
        <f t="shared" si="4"/>
        <v>11765439.050000001</v>
      </c>
      <c r="H18" s="1150">
        <f t="shared" si="4"/>
        <v>11765439.050000001</v>
      </c>
      <c r="I18" s="1426">
        <f t="shared" si="4"/>
        <v>10779552.960000001</v>
      </c>
      <c r="J18" s="1063">
        <f t="shared" si="4"/>
        <v>11857508.26</v>
      </c>
      <c r="K18" s="1150">
        <f t="shared" si="4"/>
        <v>13043289.08</v>
      </c>
      <c r="L18" s="1557"/>
    </row>
    <row r="19" spans="1:12" s="1532" customFormat="1" ht="12.5" x14ac:dyDescent="0.25">
      <c r="A19" s="1289" t="s">
        <v>27</v>
      </c>
      <c r="B19" s="182"/>
      <c r="C19" s="1614">
        <v>5005660.96</v>
      </c>
      <c r="D19" s="1614">
        <v>2940545.9</v>
      </c>
      <c r="E19" s="1614">
        <v>11765439.050000001</v>
      </c>
      <c r="F19" s="1616">
        <v>3435062.67</v>
      </c>
      <c r="G19" s="1614">
        <v>11765439.050000001</v>
      </c>
      <c r="H19" s="1614">
        <v>11765439.050000001</v>
      </c>
      <c r="I19" s="1614">
        <v>10779552.960000001</v>
      </c>
      <c r="J19" s="1617">
        <v>11857508.26</v>
      </c>
      <c r="K19" s="1617">
        <v>13043289.08</v>
      </c>
      <c r="L19" s="1557"/>
    </row>
    <row r="20" spans="1:12" s="1532" customFormat="1" ht="12.5" x14ac:dyDescent="0.25">
      <c r="A20" s="1289" t="s">
        <v>29</v>
      </c>
      <c r="B20" s="182"/>
      <c r="C20" s="1614"/>
      <c r="D20" s="1614"/>
      <c r="E20" s="1614"/>
      <c r="F20" s="1616"/>
      <c r="G20" s="1614"/>
      <c r="H20" s="1614"/>
      <c r="I20" s="1614"/>
      <c r="J20" s="1617"/>
      <c r="K20" s="1617"/>
      <c r="L20" s="1557"/>
    </row>
    <row r="21" spans="1:12" s="1532" customFormat="1" ht="12.5" x14ac:dyDescent="0.25">
      <c r="A21" s="250" t="s">
        <v>30</v>
      </c>
      <c r="B21" s="182"/>
      <c r="C21" s="1063">
        <f>SUM(C22:C25)</f>
        <v>2864688.08</v>
      </c>
      <c r="D21" s="1063">
        <f t="shared" ref="D21:K21" si="5">SUM(D22:D25)</f>
        <v>3731495.3899999997</v>
      </c>
      <c r="E21" s="1063">
        <f t="shared" si="5"/>
        <v>3872172.01</v>
      </c>
      <c r="F21" s="1067">
        <f t="shared" si="5"/>
        <v>3744529.8499999996</v>
      </c>
      <c r="G21" s="1063">
        <f t="shared" si="5"/>
        <v>3872172.01</v>
      </c>
      <c r="H21" s="1150">
        <f t="shared" si="5"/>
        <v>3872172.01</v>
      </c>
      <c r="I21" s="1426">
        <f t="shared" si="5"/>
        <v>2829383.7</v>
      </c>
      <c r="J21" s="1063">
        <f t="shared" si="5"/>
        <v>3112322.0700000003</v>
      </c>
      <c r="K21" s="1150">
        <f t="shared" si="5"/>
        <v>3423473.46</v>
      </c>
      <c r="L21" s="1557"/>
    </row>
    <row r="22" spans="1:12" s="1532" customFormat="1" ht="12.5" x14ac:dyDescent="0.25">
      <c r="A22" s="1289" t="s">
        <v>1084</v>
      </c>
      <c r="B22" s="182"/>
      <c r="C22" s="1614">
        <v>93545.37</v>
      </c>
      <c r="D22" s="1614">
        <v>6007.96</v>
      </c>
      <c r="E22" s="1614">
        <v>0</v>
      </c>
      <c r="F22" s="1635">
        <v>18841.3</v>
      </c>
      <c r="G22" s="1614">
        <v>0</v>
      </c>
      <c r="H22" s="1614">
        <v>0</v>
      </c>
      <c r="I22" s="1614">
        <v>0</v>
      </c>
      <c r="J22" s="1617">
        <v>0</v>
      </c>
      <c r="K22" s="1617"/>
      <c r="L22" s="1556"/>
    </row>
    <row r="23" spans="1:12" s="1532" customFormat="1" ht="12.5" x14ac:dyDescent="0.25">
      <c r="A23" s="1289" t="s">
        <v>320</v>
      </c>
      <c r="B23" s="182">
        <v>2</v>
      </c>
      <c r="C23" s="1614">
        <v>1423762.63</v>
      </c>
      <c r="D23" s="1614">
        <v>1457203.13</v>
      </c>
      <c r="E23" s="1614">
        <v>1280124.8899999999</v>
      </c>
      <c r="F23" s="1635">
        <v>1457404.25</v>
      </c>
      <c r="G23" s="1614">
        <v>1280124.8899999999</v>
      </c>
      <c r="H23" s="1614">
        <v>1280124.8899999999</v>
      </c>
      <c r="I23" s="1614">
        <v>1289880.24</v>
      </c>
      <c r="J23" s="1617">
        <v>1418868.26</v>
      </c>
      <c r="K23" s="1617">
        <v>1560755.09</v>
      </c>
      <c r="L23" s="1557"/>
    </row>
    <row r="24" spans="1:12" s="1532" customFormat="1" ht="12.5" x14ac:dyDescent="0.25">
      <c r="A24" s="1289" t="s">
        <v>138</v>
      </c>
      <c r="B24" s="182"/>
      <c r="C24" s="1614"/>
      <c r="D24" s="1614"/>
      <c r="E24" s="1614">
        <v>0</v>
      </c>
      <c r="F24" s="1635"/>
      <c r="G24" s="1614">
        <v>0</v>
      </c>
      <c r="H24" s="1614">
        <v>0</v>
      </c>
      <c r="I24" s="1614"/>
      <c r="J24" s="1634"/>
      <c r="K24" s="1634"/>
      <c r="L24" s="1557"/>
    </row>
    <row r="25" spans="1:12" s="1532" customFormat="1" ht="12.5" x14ac:dyDescent="0.25">
      <c r="A25" s="1289" t="s">
        <v>292</v>
      </c>
      <c r="B25" s="182">
        <v>3</v>
      </c>
      <c r="C25" s="1614">
        <v>1347380.08</v>
      </c>
      <c r="D25" s="1614">
        <v>2268284.2999999998</v>
      </c>
      <c r="E25" s="1614">
        <v>2592047.12</v>
      </c>
      <c r="F25" s="1635">
        <v>2268284.2999999998</v>
      </c>
      <c r="G25" s="1614">
        <v>2592047.12</v>
      </c>
      <c r="H25" s="1614">
        <v>2592047.12</v>
      </c>
      <c r="I25" s="1614">
        <v>1539503.46</v>
      </c>
      <c r="J25" s="1634">
        <v>1693453.81</v>
      </c>
      <c r="K25" s="1634">
        <v>1862718.37</v>
      </c>
      <c r="L25" s="1557"/>
    </row>
    <row r="26" spans="1:12" ht="5.15" customHeight="1" x14ac:dyDescent="0.25">
      <c r="A26" s="273"/>
      <c r="B26" s="182"/>
      <c r="C26" s="203"/>
      <c r="D26" s="203"/>
      <c r="E26" s="204"/>
      <c r="F26" s="205"/>
      <c r="G26" s="203"/>
      <c r="H26" s="202"/>
      <c r="I26" s="205"/>
      <c r="J26" s="203"/>
      <c r="K26" s="204"/>
      <c r="L26" s="370"/>
    </row>
    <row r="27" spans="1:12" ht="17.25" customHeight="1" x14ac:dyDescent="0.25">
      <c r="A27" s="249" t="s">
        <v>1559</v>
      </c>
      <c r="B27" s="182"/>
      <c r="C27" s="218">
        <f>SUM(C28:C41)</f>
        <v>9014928.4100000001</v>
      </c>
      <c r="D27" s="218">
        <f t="shared" ref="D27:K27" si="6">SUM(D28:D41)</f>
        <v>33924517.159999996</v>
      </c>
      <c r="E27" s="219">
        <f t="shared" si="6"/>
        <v>37539555.140000008</v>
      </c>
      <c r="F27" s="220">
        <f t="shared" si="6"/>
        <v>33991824.089999996</v>
      </c>
      <c r="G27" s="218">
        <f t="shared" si="6"/>
        <v>32405297.860000003</v>
      </c>
      <c r="H27" s="217">
        <f t="shared" si="6"/>
        <v>32405297.860000003</v>
      </c>
      <c r="I27" s="220">
        <f t="shared" si="6"/>
        <v>40050067.729999997</v>
      </c>
      <c r="J27" s="218">
        <f t="shared" si="6"/>
        <v>44055074.5</v>
      </c>
      <c r="K27" s="219">
        <f t="shared" si="6"/>
        <v>48460581.950000003</v>
      </c>
      <c r="L27" s="370"/>
    </row>
    <row r="28" spans="1:12" ht="11.25" customHeight="1" x14ac:dyDescent="0.25">
      <c r="A28" s="250" t="s">
        <v>2</v>
      </c>
      <c r="B28" s="182"/>
      <c r="C28" s="1619">
        <v>160348.98000000001</v>
      </c>
      <c r="D28" s="1619">
        <v>514842.89</v>
      </c>
      <c r="E28" s="1619">
        <v>450445.78</v>
      </c>
      <c r="F28" s="1957">
        <v>515342.89</v>
      </c>
      <c r="G28" s="1619">
        <v>450445.78</v>
      </c>
      <c r="H28" s="1619">
        <v>450445.78</v>
      </c>
      <c r="I28" s="1619">
        <v>486975.72</v>
      </c>
      <c r="J28" s="1888">
        <v>535673.29</v>
      </c>
      <c r="K28" s="1888">
        <v>589240.62</v>
      </c>
      <c r="L28" s="1557"/>
    </row>
    <row r="29" spans="1:12" ht="11.25" customHeight="1" x14ac:dyDescent="0.25">
      <c r="A29" s="250" t="s">
        <v>1579</v>
      </c>
      <c r="B29" s="182"/>
      <c r="C29" s="1614">
        <v>2182892.79</v>
      </c>
      <c r="D29" s="1614">
        <v>5421096.5</v>
      </c>
      <c r="E29" s="1614">
        <v>4134153.17</v>
      </c>
      <c r="F29" s="1635">
        <v>5422929.8300000001</v>
      </c>
      <c r="G29" s="1614">
        <v>4134153.17</v>
      </c>
      <c r="H29" s="1614">
        <v>4134153.17</v>
      </c>
      <c r="I29" s="1614">
        <v>4470453.37</v>
      </c>
      <c r="J29" s="1634">
        <v>4917498.71</v>
      </c>
      <c r="K29" s="1634">
        <v>5409248.5800000001</v>
      </c>
      <c r="L29" s="1557"/>
    </row>
    <row r="30" spans="1:12" ht="11.25" customHeight="1" x14ac:dyDescent="0.25">
      <c r="A30" s="250" t="s">
        <v>503</v>
      </c>
      <c r="B30" s="182"/>
      <c r="C30" s="1614">
        <v>229648.16</v>
      </c>
      <c r="D30" s="1614">
        <v>1041893.82</v>
      </c>
      <c r="E30" s="1614">
        <v>1044670.32</v>
      </c>
      <c r="F30" s="1635">
        <v>1041893.82</v>
      </c>
      <c r="G30" s="1614">
        <v>1044670.32</v>
      </c>
      <c r="H30" s="1614">
        <v>1044670.32</v>
      </c>
      <c r="I30" s="1614">
        <v>1130144.8</v>
      </c>
      <c r="J30" s="1634">
        <v>1243159.28</v>
      </c>
      <c r="K30" s="1634">
        <v>1367475.2</v>
      </c>
      <c r="L30" s="1557"/>
    </row>
    <row r="31" spans="1:12" ht="11.25" customHeight="1" x14ac:dyDescent="0.25">
      <c r="A31" s="250" t="s">
        <v>1</v>
      </c>
      <c r="B31" s="182"/>
      <c r="C31" s="1614">
        <v>2687890.94</v>
      </c>
      <c r="D31" s="1614">
        <v>13130894.029999999</v>
      </c>
      <c r="E31" s="1614">
        <v>13201463.15</v>
      </c>
      <c r="F31" s="1635">
        <v>13142219.609999999</v>
      </c>
      <c r="G31" s="1614">
        <v>13201463.15</v>
      </c>
      <c r="H31" s="1614">
        <v>13201463.15</v>
      </c>
      <c r="I31" s="1614">
        <v>14089602.380000001</v>
      </c>
      <c r="J31" s="1634">
        <v>15498562.619999999</v>
      </c>
      <c r="K31" s="1634">
        <v>17048418.879999999</v>
      </c>
      <c r="L31" s="1557"/>
    </row>
    <row r="32" spans="1:12" ht="11.25" customHeight="1" x14ac:dyDescent="0.25">
      <c r="A32" s="250" t="s">
        <v>339</v>
      </c>
      <c r="B32" s="182"/>
      <c r="C32" s="1614">
        <v>1224275.03</v>
      </c>
      <c r="D32" s="1614">
        <v>5426118.3799999999</v>
      </c>
      <c r="E32" s="1614">
        <v>5455730.9800000004</v>
      </c>
      <c r="F32" s="1635">
        <v>5426118.3799999999</v>
      </c>
      <c r="G32" s="1614">
        <v>5455730.9800000004</v>
      </c>
      <c r="H32" s="1614">
        <v>5455730.9800000004</v>
      </c>
      <c r="I32" s="1614">
        <v>5717353.4900000002</v>
      </c>
      <c r="J32" s="1634">
        <v>6289088.8399999999</v>
      </c>
      <c r="K32" s="1634">
        <v>6917997.7199999997</v>
      </c>
      <c r="L32" s="1557"/>
    </row>
    <row r="33" spans="1:15" ht="11.25" customHeight="1" x14ac:dyDescent="0.25">
      <c r="A33" s="250" t="s">
        <v>0</v>
      </c>
      <c r="B33" s="182"/>
      <c r="C33" s="1614">
        <v>258841.44</v>
      </c>
      <c r="D33" s="1614">
        <v>456805.07</v>
      </c>
      <c r="E33" s="1614">
        <v>0</v>
      </c>
      <c r="F33" s="1635">
        <v>468638.4</v>
      </c>
      <c r="G33" s="1614">
        <v>0</v>
      </c>
      <c r="H33" s="1614">
        <v>0</v>
      </c>
      <c r="I33" s="1614">
        <v>0</v>
      </c>
      <c r="J33" s="1634">
        <v>0</v>
      </c>
      <c r="K33" s="1634">
        <v>0</v>
      </c>
      <c r="L33" s="1557"/>
    </row>
    <row r="34" spans="1:15" ht="11.25" customHeight="1" x14ac:dyDescent="0.25">
      <c r="A34" s="250" t="s">
        <v>1580</v>
      </c>
      <c r="B34" s="182"/>
      <c r="C34" s="1614">
        <v>347860.57</v>
      </c>
      <c r="D34" s="1614">
        <v>1218176.6200000001</v>
      </c>
      <c r="E34" s="1614">
        <v>1307593.8899999999</v>
      </c>
      <c r="F34" s="1635">
        <v>1218176.6200000001</v>
      </c>
      <c r="G34" s="1614">
        <v>1307593.8899999999</v>
      </c>
      <c r="H34" s="1614">
        <v>1307593.8899999999</v>
      </c>
      <c r="I34" s="1614">
        <v>1413956.41</v>
      </c>
      <c r="J34" s="1634">
        <v>1555352.05</v>
      </c>
      <c r="K34" s="1634">
        <v>1710887.26</v>
      </c>
      <c r="L34" s="1557"/>
    </row>
    <row r="35" spans="1:15" ht="11.25" customHeight="1" x14ac:dyDescent="0.25">
      <c r="A35" s="250" t="s">
        <v>959</v>
      </c>
      <c r="B35" s="182"/>
      <c r="C35" s="1614"/>
      <c r="D35" s="1614"/>
      <c r="E35" s="1614">
        <v>0</v>
      </c>
      <c r="F35" s="1635"/>
      <c r="G35" s="1614">
        <v>0</v>
      </c>
      <c r="H35" s="1614">
        <v>0</v>
      </c>
      <c r="I35" s="1614">
        <v>0</v>
      </c>
      <c r="J35" s="1634">
        <v>0</v>
      </c>
      <c r="K35" s="1634">
        <v>0</v>
      </c>
      <c r="L35" s="1557"/>
    </row>
    <row r="36" spans="1:15" ht="11.25" customHeight="1" x14ac:dyDescent="0.25">
      <c r="A36" s="250" t="s">
        <v>1515</v>
      </c>
      <c r="B36" s="182">
        <v>7</v>
      </c>
      <c r="C36" s="1614"/>
      <c r="D36" s="1614"/>
      <c r="E36" s="1614">
        <v>0</v>
      </c>
      <c r="F36" s="1635"/>
      <c r="G36" s="1614">
        <v>0</v>
      </c>
      <c r="H36" s="1614">
        <v>0</v>
      </c>
      <c r="I36" s="1614">
        <v>0</v>
      </c>
      <c r="J36" s="1634">
        <v>0</v>
      </c>
      <c r="K36" s="1634">
        <v>0</v>
      </c>
      <c r="L36" s="1557"/>
    </row>
    <row r="37" spans="1:15" ht="11.25" customHeight="1" x14ac:dyDescent="0.25">
      <c r="A37" s="250" t="s">
        <v>1281</v>
      </c>
      <c r="B37" s="182"/>
      <c r="C37" s="1614">
        <v>401213.06</v>
      </c>
      <c r="D37" s="1614">
        <v>1854007.34</v>
      </c>
      <c r="E37" s="1614">
        <v>1861946.95</v>
      </c>
      <c r="F37" s="1635">
        <v>1860322.03</v>
      </c>
      <c r="G37" s="1614">
        <v>1861946.95</v>
      </c>
      <c r="H37" s="1614">
        <v>1861946.95</v>
      </c>
      <c r="I37" s="1614">
        <v>2012921.99</v>
      </c>
      <c r="J37" s="1634">
        <v>2214214.19</v>
      </c>
      <c r="K37" s="1634">
        <v>2435635.61</v>
      </c>
      <c r="L37" s="1557"/>
      <c r="O37" s="370"/>
    </row>
    <row r="38" spans="1:15" ht="11.25" customHeight="1" x14ac:dyDescent="0.25">
      <c r="A38" s="250" t="s">
        <v>722</v>
      </c>
      <c r="B38" s="182"/>
      <c r="C38" s="1614">
        <v>320734.74</v>
      </c>
      <c r="D38" s="1614">
        <v>1133735.45</v>
      </c>
      <c r="E38" s="1614">
        <v>1136756.48</v>
      </c>
      <c r="F38" s="1635">
        <v>1133735.45</v>
      </c>
      <c r="G38" s="1614">
        <v>1136756.48</v>
      </c>
      <c r="H38" s="1614">
        <v>1136756.48</v>
      </c>
      <c r="I38" s="1614">
        <v>1228942.31</v>
      </c>
      <c r="J38" s="1634">
        <v>1351836.54</v>
      </c>
      <c r="K38" s="1634">
        <v>1487020.19</v>
      </c>
      <c r="L38" s="1557"/>
    </row>
    <row r="39" spans="1:15" ht="11.25" customHeight="1" x14ac:dyDescent="0.25">
      <c r="A39" s="250" t="s">
        <v>501</v>
      </c>
      <c r="B39" s="182"/>
      <c r="C39" s="1614">
        <v>5700.8</v>
      </c>
      <c r="D39" s="1614">
        <v>36409.82</v>
      </c>
      <c r="E39" s="1614">
        <v>112153.62</v>
      </c>
      <c r="F39" s="1635">
        <v>68576.490000000005</v>
      </c>
      <c r="G39" s="1614">
        <v>112153.62</v>
      </c>
      <c r="H39" s="1614">
        <v>112153.62</v>
      </c>
      <c r="I39" s="1614">
        <v>121303.78</v>
      </c>
      <c r="J39" s="1634">
        <v>133434.15</v>
      </c>
      <c r="K39" s="1634">
        <v>146777.57</v>
      </c>
      <c r="L39" s="1557"/>
    </row>
    <row r="40" spans="1:15" ht="11.25" customHeight="1" x14ac:dyDescent="0.25">
      <c r="A40" s="250" t="s">
        <v>31</v>
      </c>
      <c r="B40" s="182">
        <v>8</v>
      </c>
      <c r="C40" s="1614"/>
      <c r="D40" s="1614"/>
      <c r="E40" s="1614">
        <v>5134257.28</v>
      </c>
      <c r="F40" s="1635"/>
      <c r="G40" s="1614"/>
      <c r="H40" s="1614"/>
      <c r="I40" s="1614">
        <v>5377797.7400000002</v>
      </c>
      <c r="J40" s="1634">
        <v>5915577.5199999996</v>
      </c>
      <c r="K40" s="1634">
        <v>6507135.2699999996</v>
      </c>
      <c r="L40" s="370"/>
    </row>
    <row r="41" spans="1:15" ht="11.25" customHeight="1" x14ac:dyDescent="0.25">
      <c r="A41" s="250" t="s">
        <v>292</v>
      </c>
      <c r="B41" s="182"/>
      <c r="C41" s="1656">
        <v>1195521.8999999999</v>
      </c>
      <c r="D41" s="1656">
        <v>3690537.24</v>
      </c>
      <c r="E41" s="1656">
        <v>3700383.52</v>
      </c>
      <c r="F41" s="1658">
        <v>3693870.57</v>
      </c>
      <c r="G41" s="1656">
        <v>3700383.52</v>
      </c>
      <c r="H41" s="1656">
        <v>3700383.52</v>
      </c>
      <c r="I41" s="1656">
        <v>4000615.74</v>
      </c>
      <c r="J41" s="1657">
        <v>4400677.3099999996</v>
      </c>
      <c r="K41" s="1657">
        <v>4840745.05</v>
      </c>
      <c r="L41" s="1557"/>
    </row>
    <row r="42" spans="1:15" ht="5.15" customHeight="1" x14ac:dyDescent="0.25">
      <c r="A42" s="273"/>
      <c r="B42" s="182"/>
      <c r="C42" s="203"/>
      <c r="D42" s="203"/>
      <c r="E42" s="204"/>
      <c r="F42" s="205"/>
      <c r="G42" s="203"/>
      <c r="H42" s="202"/>
      <c r="I42" s="205"/>
      <c r="J42" s="203"/>
      <c r="K42" s="204"/>
      <c r="L42" s="370"/>
    </row>
    <row r="43" spans="1:15" ht="17.25" customHeight="1" x14ac:dyDescent="0.25">
      <c r="A43" s="249" t="s">
        <v>962</v>
      </c>
      <c r="B43" s="182"/>
      <c r="C43" s="203">
        <f>SUM(C44:C45)</f>
        <v>0</v>
      </c>
      <c r="D43" s="203">
        <f t="shared" ref="D43:K43" si="7">SUM(D44:D45)</f>
        <v>0</v>
      </c>
      <c r="E43" s="204">
        <f t="shared" si="7"/>
        <v>0</v>
      </c>
      <c r="F43" s="205">
        <f t="shared" si="7"/>
        <v>0</v>
      </c>
      <c r="G43" s="203">
        <f t="shared" si="7"/>
        <v>0</v>
      </c>
      <c r="H43" s="202">
        <f t="shared" si="7"/>
        <v>0</v>
      </c>
      <c r="I43" s="205">
        <f t="shared" si="7"/>
        <v>0</v>
      </c>
      <c r="J43" s="203">
        <f t="shared" si="7"/>
        <v>0</v>
      </c>
      <c r="K43" s="204">
        <f t="shared" si="7"/>
        <v>0</v>
      </c>
      <c r="L43" s="370"/>
    </row>
    <row r="44" spans="1:15" ht="11.25" customHeight="1" x14ac:dyDescent="0.25">
      <c r="A44" s="250" t="s">
        <v>1253</v>
      </c>
      <c r="B44" s="182"/>
      <c r="C44" s="1623"/>
      <c r="D44" s="1623"/>
      <c r="E44" s="1978"/>
      <c r="F44" s="1979"/>
      <c r="G44" s="1623"/>
      <c r="H44" s="1980"/>
      <c r="I44" s="1979"/>
      <c r="J44" s="1623"/>
      <c r="K44" s="1978"/>
      <c r="L44" s="370"/>
    </row>
    <row r="45" spans="1:15" ht="11.25" customHeight="1" x14ac:dyDescent="0.25">
      <c r="A45" s="254" t="s">
        <v>292</v>
      </c>
      <c r="B45" s="182">
        <v>9</v>
      </c>
      <c r="C45" s="1651"/>
      <c r="D45" s="1651"/>
      <c r="E45" s="1981"/>
      <c r="F45" s="1982"/>
      <c r="G45" s="1651"/>
      <c r="H45" s="1983"/>
      <c r="I45" s="1982"/>
      <c r="J45" s="1651"/>
      <c r="K45" s="1981"/>
      <c r="L45" s="370"/>
    </row>
    <row r="46" spans="1:15" ht="5.15" customHeight="1" x14ac:dyDescent="0.25">
      <c r="A46" s="273"/>
      <c r="B46" s="182"/>
      <c r="C46" s="203"/>
      <c r="D46" s="203"/>
      <c r="E46" s="204"/>
      <c r="F46" s="205"/>
      <c r="G46" s="203"/>
      <c r="H46" s="202"/>
      <c r="I46" s="205"/>
      <c r="J46" s="203"/>
      <c r="K46" s="204"/>
      <c r="L46" s="370"/>
    </row>
    <row r="47" spans="1:15" ht="17.25" customHeight="1" x14ac:dyDescent="0.25">
      <c r="A47" s="249" t="s">
        <v>963</v>
      </c>
      <c r="B47" s="182"/>
      <c r="C47" s="218">
        <f>SUM(C48:C49)</f>
        <v>0</v>
      </c>
      <c r="D47" s="218">
        <f t="shared" ref="D47:K47" si="8">SUM(D48:D49)</f>
        <v>0</v>
      </c>
      <c r="E47" s="219">
        <f t="shared" si="8"/>
        <v>0</v>
      </c>
      <c r="F47" s="220">
        <f t="shared" si="8"/>
        <v>0</v>
      </c>
      <c r="G47" s="218">
        <f t="shared" si="8"/>
        <v>0</v>
      </c>
      <c r="H47" s="217">
        <f t="shared" si="8"/>
        <v>0</v>
      </c>
      <c r="I47" s="220">
        <f t="shared" si="8"/>
        <v>0</v>
      </c>
      <c r="J47" s="218">
        <f t="shared" si="8"/>
        <v>0</v>
      </c>
      <c r="K47" s="219">
        <f t="shared" si="8"/>
        <v>0</v>
      </c>
      <c r="L47" s="370"/>
    </row>
    <row r="48" spans="1:15" ht="11.25" customHeight="1" x14ac:dyDescent="0.25">
      <c r="A48" s="250" t="s">
        <v>502</v>
      </c>
      <c r="B48" s="182"/>
      <c r="C48" s="1619"/>
      <c r="D48" s="1619"/>
      <c r="E48" s="1888"/>
      <c r="F48" s="1957"/>
      <c r="G48" s="1619"/>
      <c r="H48" s="1977"/>
      <c r="I48" s="1957"/>
      <c r="J48" s="1619"/>
      <c r="K48" s="1888"/>
      <c r="L48" s="1557"/>
    </row>
    <row r="49" spans="1:12" ht="11.25" customHeight="1" x14ac:dyDescent="0.25">
      <c r="A49" s="250" t="s">
        <v>292</v>
      </c>
      <c r="B49" s="182"/>
      <c r="C49" s="1656"/>
      <c r="D49" s="1656"/>
      <c r="E49" s="1657"/>
      <c r="F49" s="1658"/>
      <c r="G49" s="1656"/>
      <c r="H49" s="1659"/>
      <c r="I49" s="1658"/>
      <c r="J49" s="1656"/>
      <c r="K49" s="1657"/>
      <c r="L49" s="370"/>
    </row>
    <row r="50" spans="1:12" ht="5.15" customHeight="1" x14ac:dyDescent="0.25">
      <c r="A50" s="273"/>
      <c r="B50" s="182"/>
      <c r="C50" s="203"/>
      <c r="D50" s="203"/>
      <c r="E50" s="204"/>
      <c r="F50" s="205"/>
      <c r="G50" s="203"/>
      <c r="H50" s="202"/>
      <c r="I50" s="205"/>
      <c r="J50" s="203"/>
      <c r="K50" s="204"/>
      <c r="L50" s="370"/>
    </row>
    <row r="51" spans="1:12" ht="17.25" customHeight="1" x14ac:dyDescent="0.25">
      <c r="A51" s="249" t="s">
        <v>964</v>
      </c>
      <c r="B51" s="182"/>
      <c r="C51" s="218">
        <f>SUM(C52:C63)</f>
        <v>22066306.5</v>
      </c>
      <c r="D51" s="218">
        <f t="shared" ref="D51:K51" si="9">SUM(D52:D63)</f>
        <v>193426005.11000001</v>
      </c>
      <c r="E51" s="219">
        <f t="shared" si="9"/>
        <v>126798944.63</v>
      </c>
      <c r="F51" s="220">
        <f t="shared" si="9"/>
        <v>96616586.38000001</v>
      </c>
      <c r="G51" s="218">
        <f t="shared" si="9"/>
        <v>81282944.63000001</v>
      </c>
      <c r="H51" s="217">
        <f t="shared" si="9"/>
        <v>81282944.63000001</v>
      </c>
      <c r="I51" s="220">
        <f t="shared" si="9"/>
        <v>85452405.839999989</v>
      </c>
      <c r="J51" s="218">
        <f t="shared" si="9"/>
        <v>93997646.430000007</v>
      </c>
      <c r="K51" s="219">
        <f t="shared" si="9"/>
        <v>103406086.13000001</v>
      </c>
      <c r="L51" s="370"/>
    </row>
    <row r="52" spans="1:12" ht="11.25" customHeight="1" x14ac:dyDescent="0.25">
      <c r="A52" s="254" t="s">
        <v>630</v>
      </c>
      <c r="B52" s="182"/>
      <c r="C52" s="1619">
        <v>2126629.8199999998</v>
      </c>
      <c r="D52" s="1619">
        <v>10736805.26</v>
      </c>
      <c r="E52" s="1619">
        <v>20419123.829999998</v>
      </c>
      <c r="F52" s="1957">
        <v>10880138.59</v>
      </c>
      <c r="G52" s="1619">
        <f>20419123.83-5000000-116000</f>
        <v>15303123.829999998</v>
      </c>
      <c r="H52" s="1619">
        <f>20419123.83-5000000-116000</f>
        <v>15303123.829999998</v>
      </c>
      <c r="I52" s="1619">
        <v>23975037.370000001</v>
      </c>
      <c r="J52" s="1888">
        <v>26372541.109999999</v>
      </c>
      <c r="K52" s="1888">
        <v>29038009.440000001</v>
      </c>
      <c r="L52" s="1557"/>
    </row>
    <row r="53" spans="1:12" ht="11.25" customHeight="1" x14ac:dyDescent="0.25">
      <c r="A53" s="254" t="s">
        <v>32</v>
      </c>
      <c r="B53" s="182">
        <v>10</v>
      </c>
      <c r="C53" s="1063">
        <f>C79</f>
        <v>501075.85</v>
      </c>
      <c r="D53" s="1063">
        <f t="shared" ref="D53:K53" si="10">D79</f>
        <v>1848575.31</v>
      </c>
      <c r="E53" s="1064">
        <f t="shared" si="10"/>
        <v>3193042.5300000003</v>
      </c>
      <c r="F53" s="1065">
        <f t="shared" si="10"/>
        <v>1973575.31</v>
      </c>
      <c r="G53" s="1063">
        <f t="shared" si="10"/>
        <v>3193042.5300000003</v>
      </c>
      <c r="H53" s="1066">
        <f t="shared" si="10"/>
        <v>3193042.5300000003</v>
      </c>
      <c r="I53" s="1065">
        <f t="shared" si="10"/>
        <v>1423910.66</v>
      </c>
      <c r="J53" s="1063">
        <f t="shared" si="10"/>
        <v>1566301.73</v>
      </c>
      <c r="K53" s="1064">
        <f t="shared" si="10"/>
        <v>1722931.9</v>
      </c>
      <c r="L53" s="370"/>
    </row>
    <row r="54" spans="1:12" ht="11.25" customHeight="1" x14ac:dyDescent="0.25">
      <c r="A54" s="254" t="s">
        <v>1241</v>
      </c>
      <c r="B54" s="182"/>
      <c r="C54" s="1614">
        <v>2091199.34</v>
      </c>
      <c r="D54" s="1614">
        <v>4907276.76</v>
      </c>
      <c r="E54" s="1614">
        <v>7360298.5199999996</v>
      </c>
      <c r="F54" s="1635">
        <v>4962113.1500000004</v>
      </c>
      <c r="G54" s="1614">
        <v>7360298.5199999996</v>
      </c>
      <c r="H54" s="1614">
        <v>7360298.5199999996</v>
      </c>
      <c r="I54" s="1614">
        <v>5459651.0800000001</v>
      </c>
      <c r="J54" s="1634">
        <v>6005616.1799999997</v>
      </c>
      <c r="K54" s="1634">
        <v>6606177.7999999998</v>
      </c>
      <c r="L54" s="1557"/>
    </row>
    <row r="55" spans="1:12" ht="11.25" customHeight="1" x14ac:dyDescent="0.25">
      <c r="A55" s="254" t="s">
        <v>631</v>
      </c>
      <c r="B55" s="182"/>
      <c r="C55" s="1614">
        <v>1550563.41</v>
      </c>
      <c r="D55" s="1614">
        <v>3566689.69</v>
      </c>
      <c r="E55" s="1614">
        <v>5983251.0999999996</v>
      </c>
      <c r="F55" s="1635">
        <v>3582132.79</v>
      </c>
      <c r="G55" s="1614">
        <v>5983251.0999999996</v>
      </c>
      <c r="H55" s="1614">
        <v>5983251.0999999996</v>
      </c>
      <c r="I55" s="1614">
        <v>3045891.55</v>
      </c>
      <c r="J55" s="1634">
        <v>3350480.71</v>
      </c>
      <c r="K55" s="1634">
        <v>3685528</v>
      </c>
      <c r="L55" s="1557"/>
    </row>
    <row r="56" spans="1:12" ht="11.25" customHeight="1" x14ac:dyDescent="0.25">
      <c r="A56" s="254" t="s">
        <v>632</v>
      </c>
      <c r="B56" s="182"/>
      <c r="C56" s="1614">
        <v>1127485.1100000001</v>
      </c>
      <c r="D56" s="1614">
        <v>5075435.57</v>
      </c>
      <c r="E56" s="1614">
        <v>8517275.3900000006</v>
      </c>
      <c r="F56" s="1635">
        <v>5075435.57</v>
      </c>
      <c r="G56" s="1614">
        <v>8517275.3900000006</v>
      </c>
      <c r="H56" s="1614">
        <v>8517275.3900000006</v>
      </c>
      <c r="I56" s="1614">
        <v>6983656.2800000003</v>
      </c>
      <c r="J56" s="1634">
        <v>7682021.9100000001</v>
      </c>
      <c r="K56" s="1634">
        <v>8450224.0999999996</v>
      </c>
      <c r="L56" s="1557"/>
    </row>
    <row r="57" spans="1:12" ht="11.25" customHeight="1" x14ac:dyDescent="0.25">
      <c r="A57" s="254" t="s">
        <v>1242</v>
      </c>
      <c r="B57" s="182"/>
      <c r="C57" s="1614"/>
      <c r="D57" s="1614"/>
      <c r="E57" s="1614">
        <v>0</v>
      </c>
      <c r="F57" s="1635"/>
      <c r="G57" s="1614">
        <v>0</v>
      </c>
      <c r="H57" s="1614">
        <v>0</v>
      </c>
      <c r="I57" s="1614">
        <v>0</v>
      </c>
      <c r="J57" s="1634">
        <v>0</v>
      </c>
      <c r="K57" s="1634">
        <v>0</v>
      </c>
      <c r="L57" s="1557"/>
    </row>
    <row r="58" spans="1:12" ht="11.25" customHeight="1" x14ac:dyDescent="0.25">
      <c r="A58" s="254" t="s">
        <v>1243</v>
      </c>
      <c r="B58" s="182"/>
      <c r="C58" s="1614">
        <v>3656660.12</v>
      </c>
      <c r="D58" s="1614">
        <v>15277632.76</v>
      </c>
      <c r="E58" s="1614">
        <v>15318386.57</v>
      </c>
      <c r="F58" s="1635">
        <v>15277632.76</v>
      </c>
      <c r="G58" s="1614">
        <v>15318386.57</v>
      </c>
      <c r="H58" s="1614">
        <v>15318386.57</v>
      </c>
      <c r="I58" s="1614">
        <v>16561191.77</v>
      </c>
      <c r="J58" s="1634">
        <v>18217310.940000001</v>
      </c>
      <c r="K58" s="1634">
        <v>20039042.039999999</v>
      </c>
      <c r="L58" s="1556"/>
    </row>
    <row r="59" spans="1:12" ht="11.25" customHeight="1" x14ac:dyDescent="0.25">
      <c r="A59" s="254" t="s">
        <v>1513</v>
      </c>
      <c r="B59" s="182"/>
      <c r="C59" s="1614">
        <v>4253742.38</v>
      </c>
      <c r="D59" s="1614">
        <v>18575417.510000002</v>
      </c>
      <c r="E59" s="1614">
        <v>18692335.93</v>
      </c>
      <c r="F59" s="1635">
        <v>18575417.510000002</v>
      </c>
      <c r="G59" s="1614">
        <v>18692335.93</v>
      </c>
      <c r="H59" s="1614">
        <v>18692335.93</v>
      </c>
      <c r="I59" s="1614">
        <v>20208276.66</v>
      </c>
      <c r="J59" s="1634">
        <v>22229104.329999998</v>
      </c>
      <c r="K59" s="1634">
        <v>24452014.760000002</v>
      </c>
      <c r="L59" s="1557"/>
    </row>
    <row r="60" spans="1:12" ht="11.25" customHeight="1" x14ac:dyDescent="0.25">
      <c r="A60" s="254" t="s">
        <v>322</v>
      </c>
      <c r="B60" s="182"/>
      <c r="C60" s="1614">
        <v>3404950.47</v>
      </c>
      <c r="D60" s="1614">
        <v>10677087.369999999</v>
      </c>
      <c r="E60" s="1614">
        <v>6906467.6399999997</v>
      </c>
      <c r="F60" s="1635">
        <v>10751140.699999999</v>
      </c>
      <c r="G60" s="1614">
        <v>6906467.6399999997</v>
      </c>
      <c r="H60" s="1614">
        <v>6906467.6399999997</v>
      </c>
      <c r="I60" s="1614">
        <v>7466846.9000000004</v>
      </c>
      <c r="J60" s="1634">
        <v>8213531.5899999999</v>
      </c>
      <c r="K60" s="1634">
        <v>9015346.3699999992</v>
      </c>
      <c r="L60" s="1557"/>
    </row>
    <row r="61" spans="1:12" ht="11.25" customHeight="1" x14ac:dyDescent="0.25">
      <c r="A61" s="254" t="s">
        <v>321</v>
      </c>
      <c r="B61" s="182"/>
      <c r="C61" s="1614"/>
      <c r="D61" s="1614"/>
      <c r="E61" s="1614">
        <v>0</v>
      </c>
      <c r="F61" s="1635"/>
      <c r="G61" s="1614">
        <v>0</v>
      </c>
      <c r="H61" s="1614">
        <v>0</v>
      </c>
      <c r="I61" s="1614">
        <v>0</v>
      </c>
      <c r="J61" s="1634">
        <v>0</v>
      </c>
      <c r="K61" s="1634">
        <v>0</v>
      </c>
      <c r="L61" s="1557"/>
    </row>
    <row r="62" spans="1:12" ht="11.25" customHeight="1" x14ac:dyDescent="0.25">
      <c r="A62" s="254" t="s">
        <v>633</v>
      </c>
      <c r="B62" s="182"/>
      <c r="C62" s="1614"/>
      <c r="D62" s="1614"/>
      <c r="E62" s="1614">
        <v>0</v>
      </c>
      <c r="F62" s="1635"/>
      <c r="G62" s="1614">
        <v>0</v>
      </c>
      <c r="H62" s="1614">
        <v>0</v>
      </c>
      <c r="I62" s="1614">
        <v>0</v>
      </c>
      <c r="J62" s="1634">
        <v>0</v>
      </c>
      <c r="K62" s="1634">
        <v>0</v>
      </c>
      <c r="L62" s="1557"/>
    </row>
    <row r="63" spans="1:12" ht="11.25" customHeight="1" x14ac:dyDescent="0.25">
      <c r="A63" s="250" t="s">
        <v>292</v>
      </c>
      <c r="B63" s="182"/>
      <c r="C63" s="1656">
        <v>3354000</v>
      </c>
      <c r="D63" s="1656">
        <v>122761084.88</v>
      </c>
      <c r="E63" s="1656">
        <f>8763.12+40400000</f>
        <v>40408763.119999997</v>
      </c>
      <c r="F63" s="1658">
        <v>25539000</v>
      </c>
      <c r="G63" s="1656">
        <v>8763.1200000000008</v>
      </c>
      <c r="H63" s="1656">
        <v>8763.1200000000008</v>
      </c>
      <c r="I63" s="1656">
        <v>327943.57</v>
      </c>
      <c r="J63" s="1657">
        <v>360737.93</v>
      </c>
      <c r="K63" s="1657">
        <f>396811.72</f>
        <v>396811.72</v>
      </c>
      <c r="L63" s="1557"/>
    </row>
    <row r="64" spans="1:12" ht="5.15" customHeight="1" x14ac:dyDescent="0.25">
      <c r="A64" s="844"/>
      <c r="B64" s="182"/>
      <c r="C64" s="203"/>
      <c r="D64" s="203"/>
      <c r="E64" s="204"/>
      <c r="F64" s="205"/>
      <c r="G64" s="203"/>
      <c r="H64" s="202"/>
      <c r="I64" s="205"/>
      <c r="J64" s="203"/>
      <c r="K64" s="204"/>
      <c r="L64" s="370"/>
    </row>
    <row r="65" spans="1:12" ht="13.5" customHeight="1" x14ac:dyDescent="0.25">
      <c r="A65" s="249" t="s">
        <v>1528</v>
      </c>
      <c r="B65" s="182"/>
      <c r="C65" s="203">
        <f>SUM(C66:C67)</f>
        <v>0</v>
      </c>
      <c r="D65" s="203">
        <f t="shared" ref="D65:K65" si="11">SUM(D66:D67)</f>
        <v>0</v>
      </c>
      <c r="E65" s="204">
        <f t="shared" si="11"/>
        <v>0</v>
      </c>
      <c r="F65" s="205">
        <f t="shared" si="11"/>
        <v>0</v>
      </c>
      <c r="G65" s="203">
        <f t="shared" si="11"/>
        <v>0</v>
      </c>
      <c r="H65" s="202">
        <f t="shared" si="11"/>
        <v>0</v>
      </c>
      <c r="I65" s="205">
        <f t="shared" si="11"/>
        <v>0</v>
      </c>
      <c r="J65" s="203">
        <f t="shared" si="11"/>
        <v>0</v>
      </c>
      <c r="K65" s="204">
        <f t="shared" si="11"/>
        <v>0</v>
      </c>
      <c r="L65" s="370"/>
    </row>
    <row r="66" spans="1:12" ht="11.25" customHeight="1" x14ac:dyDescent="0.25">
      <c r="A66" s="1938" t="s">
        <v>1254</v>
      </c>
      <c r="B66" s="182"/>
      <c r="C66" s="1619"/>
      <c r="D66" s="1619"/>
      <c r="E66" s="1888"/>
      <c r="F66" s="1957"/>
      <c r="G66" s="1619"/>
      <c r="H66" s="1977"/>
      <c r="I66" s="1957"/>
      <c r="J66" s="1619"/>
      <c r="K66" s="1888"/>
      <c r="L66" s="370"/>
    </row>
    <row r="67" spans="1:12" ht="11.25" customHeight="1" x14ac:dyDescent="0.25">
      <c r="A67" s="1938"/>
      <c r="B67" s="182"/>
      <c r="C67" s="1656"/>
      <c r="D67" s="1656"/>
      <c r="E67" s="1657"/>
      <c r="F67" s="1658"/>
      <c r="G67" s="1656"/>
      <c r="H67" s="1659"/>
      <c r="I67" s="1658"/>
      <c r="J67" s="1656"/>
      <c r="K67" s="1657"/>
      <c r="L67" s="370"/>
    </row>
    <row r="68" spans="1:12" ht="5.15" customHeight="1" x14ac:dyDescent="0.25">
      <c r="A68" s="844"/>
      <c r="B68" s="182"/>
      <c r="C68" s="203"/>
      <c r="D68" s="203"/>
      <c r="E68" s="204"/>
      <c r="F68" s="205"/>
      <c r="G68" s="203"/>
      <c r="H68" s="202"/>
      <c r="I68" s="205"/>
      <c r="J68" s="203"/>
      <c r="K68" s="204"/>
      <c r="L68" s="370"/>
    </row>
    <row r="69" spans="1:12" ht="13.5" customHeight="1" x14ac:dyDescent="0.25">
      <c r="A69" s="249" t="s">
        <v>136</v>
      </c>
      <c r="B69" s="182"/>
      <c r="C69" s="203">
        <f>SUM(C70:C71)</f>
        <v>0</v>
      </c>
      <c r="D69" s="203">
        <f t="shared" ref="D69:K69" si="12">SUM(D70:D71)</f>
        <v>0</v>
      </c>
      <c r="E69" s="204">
        <f t="shared" si="12"/>
        <v>0</v>
      </c>
      <c r="F69" s="205">
        <f t="shared" si="12"/>
        <v>0</v>
      </c>
      <c r="G69" s="203">
        <f t="shared" si="12"/>
        <v>0</v>
      </c>
      <c r="H69" s="202">
        <f t="shared" si="12"/>
        <v>0</v>
      </c>
      <c r="I69" s="205">
        <f t="shared" si="12"/>
        <v>0</v>
      </c>
      <c r="J69" s="203">
        <f t="shared" si="12"/>
        <v>0</v>
      </c>
      <c r="K69" s="204">
        <f t="shared" si="12"/>
        <v>0</v>
      </c>
      <c r="L69" s="370"/>
    </row>
    <row r="70" spans="1:12" ht="11.25" customHeight="1" x14ac:dyDescent="0.25">
      <c r="A70" s="1938" t="s">
        <v>1254</v>
      </c>
      <c r="B70" s="182"/>
      <c r="C70" s="1619"/>
      <c r="D70" s="1619"/>
      <c r="E70" s="1888"/>
      <c r="F70" s="1957"/>
      <c r="G70" s="1619"/>
      <c r="H70" s="1977"/>
      <c r="I70" s="1957"/>
      <c r="J70" s="1619"/>
      <c r="K70" s="1888"/>
      <c r="L70" s="370"/>
    </row>
    <row r="71" spans="1:12" ht="11.25" customHeight="1" x14ac:dyDescent="0.25">
      <c r="A71" s="1938"/>
      <c r="B71" s="182"/>
      <c r="C71" s="1656"/>
      <c r="D71" s="1656"/>
      <c r="E71" s="1657"/>
      <c r="F71" s="1658"/>
      <c r="G71" s="1656"/>
      <c r="H71" s="1659"/>
      <c r="I71" s="1658"/>
      <c r="J71" s="1656"/>
      <c r="K71" s="1657"/>
      <c r="L71" s="370"/>
    </row>
    <row r="72" spans="1:12" ht="5.15" customHeight="1" x14ac:dyDescent="0.25">
      <c r="A72" s="273"/>
      <c r="B72" s="182"/>
      <c r="C72" s="203"/>
      <c r="D72" s="203"/>
      <c r="E72" s="204"/>
      <c r="F72" s="205"/>
      <c r="G72" s="203"/>
      <c r="H72" s="202"/>
      <c r="I72" s="205"/>
      <c r="J72" s="203"/>
      <c r="K72" s="204"/>
      <c r="L72" s="370"/>
    </row>
    <row r="73" spans="1:12" ht="17.25" customHeight="1" x14ac:dyDescent="0.25">
      <c r="A73" s="249" t="s">
        <v>882</v>
      </c>
      <c r="B73" s="182"/>
      <c r="C73" s="203">
        <f>SUM(C74:C75)</f>
        <v>2632809.6800000002</v>
      </c>
      <c r="D73" s="203">
        <f t="shared" ref="D73:K73" si="13">SUM(D74:D75)</f>
        <v>4364784.9400000004</v>
      </c>
      <c r="E73" s="204">
        <f t="shared" si="13"/>
        <v>3659156.53</v>
      </c>
      <c r="F73" s="205">
        <f t="shared" si="13"/>
        <v>4364784.9400000004</v>
      </c>
      <c r="G73" s="203">
        <f t="shared" si="13"/>
        <v>3659156.53</v>
      </c>
      <c r="H73" s="202">
        <f t="shared" si="13"/>
        <v>3659156.53</v>
      </c>
      <c r="I73" s="205">
        <f t="shared" si="13"/>
        <v>645728.94999999995</v>
      </c>
      <c r="J73" s="203">
        <f t="shared" si="13"/>
        <v>710301.85</v>
      </c>
      <c r="K73" s="204">
        <f t="shared" si="13"/>
        <v>781332.03</v>
      </c>
      <c r="L73" s="370"/>
    </row>
    <row r="74" spans="1:12" ht="11.25" customHeight="1" x14ac:dyDescent="0.25">
      <c r="A74" s="254" t="s">
        <v>970</v>
      </c>
      <c r="B74" s="182"/>
      <c r="C74" s="1619">
        <v>2632809.6800000002</v>
      </c>
      <c r="D74" s="1619">
        <v>4364784.9400000004</v>
      </c>
      <c r="E74" s="1619">
        <v>3659156.53</v>
      </c>
      <c r="F74" s="1957">
        <v>4364784.9400000004</v>
      </c>
      <c r="G74" s="1619">
        <v>3659156.53</v>
      </c>
      <c r="H74" s="1619">
        <v>3659156.53</v>
      </c>
      <c r="I74" s="1957">
        <v>645728.94999999995</v>
      </c>
      <c r="J74" s="1619">
        <v>710301.85</v>
      </c>
      <c r="K74" s="1888">
        <v>781332.03</v>
      </c>
      <c r="L74" s="370"/>
    </row>
    <row r="75" spans="1:12" ht="11.25" customHeight="1" x14ac:dyDescent="0.25">
      <c r="A75" s="1913" t="s">
        <v>614</v>
      </c>
      <c r="B75" s="182"/>
      <c r="C75" s="1656"/>
      <c r="D75" s="1656"/>
      <c r="E75" s="1656">
        <v>0</v>
      </c>
      <c r="F75" s="1658"/>
      <c r="G75" s="1656">
        <v>0</v>
      </c>
      <c r="H75" s="1659"/>
      <c r="I75" s="1658"/>
      <c r="J75" s="1656"/>
      <c r="K75" s="1657"/>
      <c r="L75" s="370"/>
    </row>
    <row r="76" spans="1:12" ht="5.15" customHeight="1" x14ac:dyDescent="0.25">
      <c r="A76" s="273"/>
      <c r="B76" s="182"/>
      <c r="C76" s="218"/>
      <c r="D76" s="218"/>
      <c r="E76" s="219"/>
      <c r="F76" s="220"/>
      <c r="G76" s="218"/>
      <c r="H76" s="217"/>
      <c r="I76" s="220"/>
      <c r="J76" s="218"/>
      <c r="K76" s="219"/>
      <c r="L76" s="370"/>
    </row>
    <row r="77" spans="1:12" x14ac:dyDescent="0.25">
      <c r="A77" s="281" t="s">
        <v>2051</v>
      </c>
      <c r="B77" s="225">
        <v>1</v>
      </c>
      <c r="C77" s="230">
        <f t="shared" ref="C77:K77" si="14">C6+C27+C43+C47+C51+C73+C65+C69</f>
        <v>124066906.25</v>
      </c>
      <c r="D77" s="230">
        <f t="shared" si="14"/>
        <v>253513339</v>
      </c>
      <c r="E77" s="228">
        <f t="shared" si="14"/>
        <v>273650584.46999997</v>
      </c>
      <c r="F77" s="229">
        <f t="shared" si="14"/>
        <v>158000034.78</v>
      </c>
      <c r="G77" s="230">
        <f>G6+G27+G43+G47+G51+G73+G65+G69</f>
        <v>158000327.19000003</v>
      </c>
      <c r="H77" s="231">
        <f t="shared" si="14"/>
        <v>158000327.19000003</v>
      </c>
      <c r="I77" s="229">
        <f t="shared" si="14"/>
        <v>189599961.46999997</v>
      </c>
      <c r="J77" s="230">
        <f t="shared" si="14"/>
        <v>227520157.64000002</v>
      </c>
      <c r="K77" s="228">
        <f t="shared" si="14"/>
        <v>273023863.22999996</v>
      </c>
      <c r="L77" s="370"/>
    </row>
    <row r="78" spans="1:12" x14ac:dyDescent="0.25">
      <c r="A78" s="1559"/>
      <c r="B78" s="652"/>
      <c r="C78" s="217"/>
      <c r="D78" s="217"/>
      <c r="E78" s="217"/>
      <c r="F78" s="217"/>
      <c r="G78" s="217"/>
      <c r="H78" s="217"/>
      <c r="I78" s="217"/>
      <c r="J78" s="217"/>
      <c r="K78" s="217"/>
      <c r="L78" s="370"/>
    </row>
    <row r="79" spans="1:12" x14ac:dyDescent="0.25">
      <c r="A79" s="1560" t="s">
        <v>32</v>
      </c>
      <c r="B79" s="1561"/>
      <c r="C79" s="1301">
        <f t="shared" ref="C79:K79" si="15">SUM(C80:C83)</f>
        <v>501075.85</v>
      </c>
      <c r="D79" s="1297">
        <f t="shared" si="15"/>
        <v>1848575.31</v>
      </c>
      <c r="E79" s="1562">
        <f t="shared" si="15"/>
        <v>3193042.5300000003</v>
      </c>
      <c r="F79" s="1301">
        <f t="shared" si="15"/>
        <v>1973575.31</v>
      </c>
      <c r="G79" s="1297">
        <f t="shared" si="15"/>
        <v>3193042.5300000003</v>
      </c>
      <c r="H79" s="1562">
        <f t="shared" si="15"/>
        <v>3193042.5300000003</v>
      </c>
      <c r="I79" s="1301">
        <f t="shared" si="15"/>
        <v>1423910.66</v>
      </c>
      <c r="J79" s="1297">
        <f t="shared" si="15"/>
        <v>1566301.73</v>
      </c>
      <c r="K79" s="1562">
        <f t="shared" si="15"/>
        <v>1722931.9</v>
      </c>
      <c r="L79" s="370"/>
    </row>
    <row r="80" spans="1:12" x14ac:dyDescent="0.25">
      <c r="A80" s="190" t="s">
        <v>1287</v>
      </c>
      <c r="B80" s="1563"/>
      <c r="C80" s="1616">
        <v>501075.85</v>
      </c>
      <c r="D80" s="1614">
        <v>384078.63</v>
      </c>
      <c r="E80" s="1614">
        <v>1718506.53</v>
      </c>
      <c r="F80" s="1616">
        <v>509078.63</v>
      </c>
      <c r="G80" s="1614">
        <v>1718506.53</v>
      </c>
      <c r="H80" s="1614">
        <v>1718506.53</v>
      </c>
      <c r="I80" s="1614"/>
      <c r="J80" s="1617"/>
      <c r="K80" s="1617"/>
      <c r="L80" s="370"/>
    </row>
    <row r="81" spans="1:12" x14ac:dyDescent="0.25">
      <c r="A81" s="190" t="s">
        <v>1514</v>
      </c>
      <c r="B81" s="1563"/>
      <c r="C81" s="1616"/>
      <c r="D81" s="1614">
        <v>1464496.68</v>
      </c>
      <c r="E81" s="1614">
        <v>1474536</v>
      </c>
      <c r="F81" s="1616">
        <v>1464496.68</v>
      </c>
      <c r="G81" s="1614">
        <v>1474536</v>
      </c>
      <c r="H81" s="1614">
        <v>1474536</v>
      </c>
      <c r="I81" s="1614">
        <v>1423910.66</v>
      </c>
      <c r="J81" s="1617">
        <v>1566301.73</v>
      </c>
      <c r="K81" s="1617">
        <f>1722931.9</f>
        <v>1722931.9</v>
      </c>
      <c r="L81" s="370"/>
    </row>
    <row r="82" spans="1:12" x14ac:dyDescent="0.25">
      <c r="A82" s="190" t="s">
        <v>1712</v>
      </c>
      <c r="B82" s="1563"/>
      <c r="C82" s="1616"/>
      <c r="D82" s="1614"/>
      <c r="E82" s="1614"/>
      <c r="F82" s="1616"/>
      <c r="G82" s="1614"/>
      <c r="H82" s="1617"/>
      <c r="I82" s="1614"/>
      <c r="J82" s="1617"/>
      <c r="K82" s="1617"/>
      <c r="L82" s="370"/>
    </row>
    <row r="83" spans="1:12" x14ac:dyDescent="0.25">
      <c r="A83" s="1314" t="s">
        <v>1713</v>
      </c>
      <c r="B83" s="1564"/>
      <c r="C83" s="1695"/>
      <c r="D83" s="1691"/>
      <c r="E83" s="1984"/>
      <c r="F83" s="1695"/>
      <c r="G83" s="1691"/>
      <c r="H83" s="1984"/>
      <c r="I83" s="1691"/>
      <c r="J83" s="1984"/>
      <c r="K83" s="1984"/>
      <c r="L83" s="370"/>
    </row>
    <row r="84" spans="1:12" s="709" customFormat="1" x14ac:dyDescent="0.25">
      <c r="A84" s="1261" t="str">
        <f>head27a</f>
        <v>References</v>
      </c>
      <c r="B84" s="1038"/>
      <c r="C84" s="1042"/>
      <c r="D84" s="1042"/>
      <c r="E84" s="1042"/>
      <c r="F84" s="1042"/>
      <c r="G84" s="1042"/>
      <c r="H84" s="1042"/>
      <c r="I84" s="1042"/>
      <c r="J84" s="1042"/>
      <c r="K84" s="1042"/>
      <c r="L84" s="1558"/>
    </row>
    <row r="85" spans="1:12" s="709" customFormat="1" ht="11.25" customHeight="1" x14ac:dyDescent="0.25">
      <c r="A85" s="1262" t="s">
        <v>2225</v>
      </c>
      <c r="B85" s="1038"/>
      <c r="C85" s="1041"/>
      <c r="D85" s="1041"/>
      <c r="E85" s="1042"/>
      <c r="F85" s="1042"/>
      <c r="G85" s="1042"/>
      <c r="H85" s="1042"/>
      <c r="I85" s="1042"/>
      <c r="J85" s="1042"/>
      <c r="K85" s="1042"/>
    </row>
    <row r="86" spans="1:12" s="709" customFormat="1" ht="11.25" customHeight="1" x14ac:dyDescent="0.25">
      <c r="A86" s="1262" t="s">
        <v>319</v>
      </c>
      <c r="B86" s="1038"/>
      <c r="C86" s="1041"/>
      <c r="D86" s="1041"/>
      <c r="E86" s="1042"/>
      <c r="F86" s="1042"/>
      <c r="G86" s="1042"/>
      <c r="H86" s="1042"/>
      <c r="I86" s="1042"/>
      <c r="J86" s="1042"/>
      <c r="K86" s="1042"/>
    </row>
    <row r="87" spans="1:12" s="709" customFormat="1" ht="11.25" customHeight="1" x14ac:dyDescent="0.25">
      <c r="A87" s="1262" t="s">
        <v>912</v>
      </c>
      <c r="B87" s="1038"/>
      <c r="C87" s="1041"/>
      <c r="D87" s="1041"/>
      <c r="E87" s="1042"/>
      <c r="F87" s="1042"/>
      <c r="G87" s="1042"/>
      <c r="H87" s="1042"/>
      <c r="I87" s="1042"/>
      <c r="J87" s="1042"/>
      <c r="K87" s="1042"/>
    </row>
    <row r="88" spans="1:12" s="709" customFormat="1" ht="11.25" customHeight="1" x14ac:dyDescent="0.25">
      <c r="A88" s="1262" t="s">
        <v>323</v>
      </c>
      <c r="B88" s="1038"/>
      <c r="C88" s="1041"/>
      <c r="D88" s="1041"/>
      <c r="E88" s="1042"/>
      <c r="F88" s="1042"/>
      <c r="G88" s="1042"/>
      <c r="H88" s="1042"/>
      <c r="I88" s="1042"/>
      <c r="J88" s="1042"/>
      <c r="K88" s="1042"/>
    </row>
    <row r="89" spans="1:12" s="709" customFormat="1" ht="11.25" customHeight="1" x14ac:dyDescent="0.25">
      <c r="A89" s="1262" t="s">
        <v>133</v>
      </c>
      <c r="B89" s="1038"/>
      <c r="C89" s="1041"/>
      <c r="D89" s="1041"/>
      <c r="E89" s="1042"/>
      <c r="F89" s="1042"/>
      <c r="G89" s="1042"/>
      <c r="H89" s="1042"/>
      <c r="I89" s="1042"/>
      <c r="J89" s="1042"/>
      <c r="K89" s="1042"/>
    </row>
    <row r="90" spans="1:12" s="709" customFormat="1" ht="11.25" customHeight="1" x14ac:dyDescent="0.25">
      <c r="A90" s="1262" t="s">
        <v>1653</v>
      </c>
      <c r="B90" s="1038"/>
      <c r="C90" s="1041"/>
      <c r="D90" s="1041"/>
      <c r="E90" s="1042"/>
      <c r="F90" s="1042"/>
      <c r="G90" s="1042"/>
      <c r="H90" s="1042"/>
      <c r="I90" s="1042"/>
      <c r="J90" s="1042"/>
      <c r="K90" s="1042"/>
    </row>
    <row r="91" spans="1:12" s="709" customFormat="1" ht="11.25" customHeight="1" x14ac:dyDescent="0.25">
      <c r="A91" s="1515" t="s">
        <v>33</v>
      </c>
      <c r="B91" s="1038"/>
      <c r="C91" s="1041"/>
      <c r="D91" s="1041"/>
      <c r="E91" s="1042"/>
      <c r="F91" s="1042"/>
      <c r="G91" s="1042"/>
      <c r="H91" s="1042"/>
      <c r="I91" s="1042"/>
      <c r="J91" s="1042"/>
      <c r="K91" s="1042"/>
    </row>
    <row r="92" spans="1:12" s="709" customFormat="1" ht="11.25" customHeight="1" x14ac:dyDescent="0.25">
      <c r="A92" s="1515" t="s">
        <v>1332</v>
      </c>
      <c r="B92" s="1038"/>
      <c r="C92" s="1041"/>
      <c r="D92" s="1041"/>
      <c r="E92" s="1042"/>
      <c r="F92" s="1042"/>
      <c r="G92" s="1042"/>
      <c r="H92" s="1042"/>
      <c r="I92" s="1042"/>
      <c r="J92" s="1042"/>
      <c r="K92" s="1042"/>
    </row>
    <row r="93" spans="1:12" s="709" customFormat="1" ht="11.25" customHeight="1" x14ac:dyDescent="0.25">
      <c r="A93" s="1515" t="s">
        <v>1333</v>
      </c>
      <c r="B93" s="1038"/>
      <c r="C93" s="1041"/>
      <c r="D93" s="1041"/>
      <c r="E93" s="1042"/>
      <c r="F93" s="1042"/>
      <c r="G93" s="1042"/>
      <c r="H93" s="1042"/>
      <c r="I93" s="1042"/>
      <c r="J93" s="1042"/>
      <c r="K93" s="1042"/>
    </row>
    <row r="94" spans="1:12" s="709" customFormat="1" ht="11.25" customHeight="1" x14ac:dyDescent="0.25">
      <c r="A94" s="1515" t="s">
        <v>386</v>
      </c>
      <c r="B94" s="1038"/>
      <c r="C94" s="1041"/>
      <c r="D94" s="1041"/>
      <c r="E94" s="1042"/>
      <c r="F94" s="1042"/>
      <c r="G94" s="1042"/>
      <c r="H94" s="1042"/>
      <c r="I94" s="1042"/>
      <c r="J94" s="1042"/>
      <c r="K94" s="1042"/>
    </row>
    <row r="95" spans="1:12" s="709" customFormat="1" ht="11.25" customHeight="1" x14ac:dyDescent="0.25">
      <c r="A95" s="1059"/>
      <c r="B95" s="1038"/>
      <c r="C95" s="1041"/>
      <c r="D95" s="1041"/>
      <c r="E95" s="1042"/>
      <c r="F95" s="1042"/>
      <c r="G95" s="1042"/>
      <c r="H95" s="1042"/>
      <c r="I95" s="1042"/>
      <c r="J95" s="1042"/>
      <c r="K95" s="1042"/>
    </row>
    <row r="96" spans="1:12" ht="11.25" customHeight="1" x14ac:dyDescent="0.25">
      <c r="A96" s="246"/>
      <c r="B96" s="236"/>
      <c r="C96" s="240"/>
      <c r="D96" s="240"/>
      <c r="E96" s="241"/>
      <c r="F96" s="241"/>
      <c r="G96" s="241"/>
      <c r="H96" s="241"/>
      <c r="I96" s="241"/>
      <c r="J96" s="241"/>
      <c r="K96" s="241"/>
    </row>
    <row r="97" spans="1:11" ht="11.25" customHeight="1" x14ac:dyDescent="0.25">
      <c r="A97" s="288" t="s">
        <v>547</v>
      </c>
      <c r="B97" s="243"/>
      <c r="C97" s="255">
        <f>C77-'A4-FinPerf RE'!C28</f>
        <v>344.25</v>
      </c>
      <c r="D97" s="255">
        <f>D77-'A4-FinPerf RE'!D28</f>
        <v>0</v>
      </c>
      <c r="E97" s="255">
        <f>E77-'A4-FinPerf RE'!E28</f>
        <v>388.46999996900558</v>
      </c>
      <c r="F97" s="255">
        <f>F77-'A4-FinPerf RE'!F28</f>
        <v>34.780000001192093</v>
      </c>
      <c r="G97" s="255">
        <f>G77-'A4-FinPerf RE'!G28</f>
        <v>327.19000002741814</v>
      </c>
      <c r="H97" s="255">
        <f>H77-'A4-FinPerf RE'!H28</f>
        <v>327.19000002741814</v>
      </c>
      <c r="I97" s="255">
        <f>I77-'A4-FinPerf RE'!J28</f>
        <v>-38.530000030994415</v>
      </c>
      <c r="J97" s="255">
        <f>J77-'A4-FinPerf RE'!K28</f>
        <v>157.64000001549721</v>
      </c>
      <c r="K97" s="255">
        <f>K77-'A4-FinPerf RE'!L28</f>
        <v>-136.77000004053116</v>
      </c>
    </row>
    <row r="98" spans="1:11" ht="11.25" customHeight="1" x14ac:dyDescent="0.25"/>
    <row r="99" spans="1:11" ht="11.25" customHeight="1" x14ac:dyDescent="0.25"/>
    <row r="100" spans="1:11" ht="11.25" customHeight="1" x14ac:dyDescent="0.25"/>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sheetData>
  <sheetProtection sheet="1" objects="1" scenarios="1"/>
  <mergeCells count="2">
    <mergeCell ref="F2:H2"/>
    <mergeCell ref="I2:K2"/>
  </mergeCells>
  <pageMargins left="0.75" right="0.75" top="1" bottom="1" header="0.5" footer="0.5"/>
  <pageSetup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enableFormatConditionsCalculation="0">
    <tabColor indexed="42"/>
    <pageSetUpPr fitToPage="1"/>
  </sheetPr>
  <dimension ref="A1:O147"/>
  <sheetViews>
    <sheetView showGridLines="0" zoomScaleNormal="100" workbookViewId="0">
      <pane xSplit="2" ySplit="3" topLeftCell="C52" activePane="bottomRight" state="frozen"/>
      <selection pane="topRight"/>
      <selection pane="bottomLeft"/>
      <selection pane="bottomRight" activeCell="C5" sqref="C5"/>
    </sheetView>
  </sheetViews>
  <sheetFormatPr defaultColWidth="9.1796875" defaultRowHeight="10.5" x14ac:dyDescent="0.25"/>
  <cols>
    <col min="1" max="1" width="30.7265625" style="149" customWidth="1"/>
    <col min="2" max="2" width="3" style="247" customWidth="1"/>
    <col min="3" max="9" width="9.26953125" style="149" customWidth="1"/>
    <col min="10" max="10" width="9.54296875" style="149" customWidth="1"/>
    <col min="11" max="11" width="9.81640625" style="149" customWidth="1"/>
    <col min="12" max="14" width="9.54296875" style="149" customWidth="1"/>
    <col min="15" max="15" width="9.81640625" style="149" customWidth="1"/>
    <col min="16" max="18" width="9.54296875" style="149" customWidth="1"/>
    <col min="19" max="20" width="9.81640625" style="149" customWidth="1"/>
    <col min="21" max="16384" width="9.1796875" style="149"/>
  </cols>
  <sheetData>
    <row r="1" spans="1:10" ht="13.5" customHeight="1" x14ac:dyDescent="0.3">
      <c r="A1" s="935" t="str">
        <f>muni&amp;" - "&amp;TableA35</f>
        <v>KZN225 Msunduzi - Supporting Table SA35 Consolidated future financial implications of the capital budget</v>
      </c>
      <c r="B1" s="935"/>
      <c r="C1" s="935"/>
      <c r="D1" s="935"/>
      <c r="E1" s="935"/>
      <c r="F1" s="935"/>
      <c r="G1" s="935"/>
      <c r="H1" s="935"/>
      <c r="I1" s="935"/>
    </row>
    <row r="2" spans="1:10" ht="33.75" customHeight="1" x14ac:dyDescent="0.25">
      <c r="A2" s="985" t="str">
        <f>Vdesc</f>
        <v>Vote Description</v>
      </c>
      <c r="B2" s="419" t="str">
        <f>head27</f>
        <v>Ref</v>
      </c>
      <c r="C2" s="2744" t="str">
        <f>Head3</f>
        <v>2013/14 Medium Term Revenue &amp; Expenditure Framework</v>
      </c>
      <c r="D2" s="2675"/>
      <c r="E2" s="2675"/>
      <c r="F2" s="2712" t="s">
        <v>878</v>
      </c>
      <c r="G2" s="2751"/>
      <c r="H2" s="2751"/>
      <c r="I2" s="2752"/>
    </row>
    <row r="3" spans="1:10" ht="21" x14ac:dyDescent="0.25">
      <c r="A3" s="180" t="s">
        <v>665</v>
      </c>
      <c r="B3" s="990"/>
      <c r="C3" s="987" t="str">
        <f>Head9</f>
        <v>Budget Year 2013/14</v>
      </c>
      <c r="D3" s="390" t="str">
        <f>Head10</f>
        <v>Budget Year +1 2014/15</v>
      </c>
      <c r="E3" s="389" t="str">
        <f>Head11</f>
        <v>Budget Year +2 2015/16</v>
      </c>
      <c r="F3" s="1004" t="str">
        <f>Head12</f>
        <v>Forecast 2016/17</v>
      </c>
      <c r="G3" s="1005" t="str">
        <f>Head13</f>
        <v>Forecast 2017/18</v>
      </c>
      <c r="H3" s="1005" t="str">
        <f>Head14</f>
        <v>Forecast 2018/19</v>
      </c>
      <c r="I3" s="1006" t="str">
        <f>Head48</f>
        <v>Present value</v>
      </c>
    </row>
    <row r="4" spans="1:10" x14ac:dyDescent="0.25">
      <c r="A4" s="249" t="s">
        <v>1500</v>
      </c>
      <c r="B4" s="749">
        <v>1</v>
      </c>
      <c r="C4" s="936"/>
      <c r="D4" s="936"/>
      <c r="E4" s="937"/>
      <c r="F4" s="313"/>
      <c r="G4" s="311"/>
      <c r="H4" s="311"/>
      <c r="I4" s="314"/>
      <c r="J4" s="370"/>
    </row>
    <row r="5" spans="1:10" ht="11.25" customHeight="1" x14ac:dyDescent="0.25">
      <c r="A5" s="1173" t="str">
        <f>'A5-Capex'!A6</f>
        <v xml:space="preserve">Vote 1 - Corporate Services </v>
      </c>
      <c r="B5" s="182"/>
      <c r="C5" s="1472">
        <f>'A5-Capex'!J6+'A5-Capex'!J24</f>
        <v>5600000</v>
      </c>
      <c r="D5" s="1472">
        <f>'A5-Capex'!K6+'A5-Capex'!K24</f>
        <v>5000000</v>
      </c>
      <c r="E5" s="1473">
        <f>'A5-Capex'!L6+'A5-Capex'!L24</f>
        <v>2800000</v>
      </c>
      <c r="F5" s="1629"/>
      <c r="G5" s="1627"/>
      <c r="H5" s="1627"/>
      <c r="I5" s="1628"/>
      <c r="J5" s="370"/>
    </row>
    <row r="6" spans="1:10" ht="11.25" customHeight="1" x14ac:dyDescent="0.25">
      <c r="A6" s="1173" t="str">
        <f>'A5-Capex'!A7</f>
        <v>Vote 2 - Financial Management Area</v>
      </c>
      <c r="B6" s="182"/>
      <c r="C6" s="1472">
        <f>'A5-Capex'!J7+'A5-Capex'!J25</f>
        <v>7000000</v>
      </c>
      <c r="D6" s="1472">
        <f>'A5-Capex'!K7+'A5-Capex'!K25</f>
        <v>12000000</v>
      </c>
      <c r="E6" s="1473">
        <f>'A5-Capex'!L7+'A5-Capex'!L25</f>
        <v>13000000</v>
      </c>
      <c r="F6" s="1629"/>
      <c r="G6" s="1627"/>
      <c r="H6" s="1627"/>
      <c r="I6" s="1628"/>
      <c r="J6" s="370"/>
    </row>
    <row r="7" spans="1:10" ht="11.25" customHeight="1" x14ac:dyDescent="0.25">
      <c r="A7" s="1173" t="str">
        <f>'A5-Capex'!A8</f>
        <v>Vote 3 - Infrastructure Development, Service Delivery and Maintenance Management</v>
      </c>
      <c r="B7" s="182"/>
      <c r="C7" s="1472">
        <f>'A5-Capex'!J8+'A5-Capex'!J26</f>
        <v>454748508</v>
      </c>
      <c r="D7" s="1472">
        <f>'A5-Capex'!K8+'A5-Capex'!K26</f>
        <v>234471000</v>
      </c>
      <c r="E7" s="1473">
        <f>'A5-Capex'!L8+'A5-Capex'!L26</f>
        <v>225390000</v>
      </c>
      <c r="F7" s="1629"/>
      <c r="G7" s="1627"/>
      <c r="H7" s="1627"/>
      <c r="I7" s="1628"/>
      <c r="J7" s="370"/>
    </row>
    <row r="8" spans="1:10" ht="11.25" customHeight="1" x14ac:dyDescent="0.25">
      <c r="A8" s="1173" t="str">
        <f>'A5-Capex'!A9</f>
        <v>Vote 4 - Sustainable Community Service Delivery Provision Management</v>
      </c>
      <c r="B8" s="182"/>
      <c r="C8" s="1472">
        <f>'A5-Capex'!J9+'A5-Capex'!J27</f>
        <v>8310000</v>
      </c>
      <c r="D8" s="1472">
        <f>'A5-Capex'!K9+'A5-Capex'!K27</f>
        <v>2800000</v>
      </c>
      <c r="E8" s="1473">
        <f>'A5-Capex'!L9+'A5-Capex'!L27</f>
        <v>1200000</v>
      </c>
      <c r="F8" s="1629"/>
      <c r="G8" s="1627"/>
      <c r="H8" s="1627"/>
      <c r="I8" s="1628"/>
      <c r="J8" s="370"/>
    </row>
    <row r="9" spans="1:10" ht="11.25" customHeight="1" x14ac:dyDescent="0.25">
      <c r="A9" s="1173" t="str">
        <f>'A5-Capex'!A10</f>
        <v>Vote 5 - [NAME OF VOTE 5]</v>
      </c>
      <c r="B9" s="182"/>
      <c r="C9" s="1472">
        <f>'A5-Capex'!J10+'A5-Capex'!J28</f>
        <v>0</v>
      </c>
      <c r="D9" s="1472">
        <f>'A5-Capex'!K10+'A5-Capex'!K28</f>
        <v>0</v>
      </c>
      <c r="E9" s="1473">
        <f>'A5-Capex'!L10+'A5-Capex'!L28</f>
        <v>0</v>
      </c>
      <c r="F9" s="1629"/>
      <c r="G9" s="1627"/>
      <c r="H9" s="1627"/>
      <c r="I9" s="1628"/>
      <c r="J9" s="370"/>
    </row>
    <row r="10" spans="1:10" ht="11.25" customHeight="1" x14ac:dyDescent="0.25">
      <c r="A10" s="1173" t="str">
        <f>'A5-Capex'!A11</f>
        <v>Vote 6 - [NAME OF VOTE 6]</v>
      </c>
      <c r="B10" s="182"/>
      <c r="C10" s="1472">
        <f>'A5-Capex'!J11+'A5-Capex'!J29</f>
        <v>0</v>
      </c>
      <c r="D10" s="1472">
        <f>'A5-Capex'!K11+'A5-Capex'!K29</f>
        <v>0</v>
      </c>
      <c r="E10" s="1473">
        <f>'A5-Capex'!L11+'A5-Capex'!L29</f>
        <v>0</v>
      </c>
      <c r="F10" s="1629"/>
      <c r="G10" s="1627"/>
      <c r="H10" s="1627"/>
      <c r="I10" s="1628"/>
      <c r="J10" s="370"/>
    </row>
    <row r="11" spans="1:10" ht="11.25" customHeight="1" x14ac:dyDescent="0.25">
      <c r="A11" s="1173" t="str">
        <f>'A5-Capex'!A12</f>
        <v>Vote 7 - [NAME OF VOTE 7]</v>
      </c>
      <c r="B11" s="182"/>
      <c r="C11" s="1472">
        <f>'A5-Capex'!J12+'A5-Capex'!J30</f>
        <v>0</v>
      </c>
      <c r="D11" s="1472">
        <f>'A5-Capex'!K12+'A5-Capex'!K30</f>
        <v>0</v>
      </c>
      <c r="E11" s="1473">
        <f>'A5-Capex'!L12+'A5-Capex'!L30</f>
        <v>0</v>
      </c>
      <c r="F11" s="1629"/>
      <c r="G11" s="1627"/>
      <c r="H11" s="1627"/>
      <c r="I11" s="1628"/>
      <c r="J11" s="370"/>
    </row>
    <row r="12" spans="1:10" ht="11.25" customHeight="1" x14ac:dyDescent="0.25">
      <c r="A12" s="1173" t="str">
        <f>'A5-Capex'!A13</f>
        <v>Vote 8 - [NAME OF VOTE 8]</v>
      </c>
      <c r="B12" s="182"/>
      <c r="C12" s="1472">
        <f>'A5-Capex'!J13+'A5-Capex'!J31</f>
        <v>0</v>
      </c>
      <c r="D12" s="1472">
        <f>'A5-Capex'!K13+'A5-Capex'!K31</f>
        <v>0</v>
      </c>
      <c r="E12" s="1473">
        <f>'A5-Capex'!L13+'A5-Capex'!L31</f>
        <v>0</v>
      </c>
      <c r="F12" s="1629"/>
      <c r="G12" s="1627"/>
      <c r="H12" s="1627"/>
      <c r="I12" s="1628"/>
      <c r="J12" s="370"/>
    </row>
    <row r="13" spans="1:10" ht="11.25" customHeight="1" x14ac:dyDescent="0.25">
      <c r="A13" s="1173" t="str">
        <f>'A5-Capex'!A14</f>
        <v>Vote 9 - [NAME OF VOTE 9]</v>
      </c>
      <c r="B13" s="182"/>
      <c r="C13" s="1472">
        <f>'A5-Capex'!J14+'A5-Capex'!J32</f>
        <v>0</v>
      </c>
      <c r="D13" s="1472">
        <f>'A5-Capex'!K14+'A5-Capex'!K32</f>
        <v>0</v>
      </c>
      <c r="E13" s="1473">
        <f>'A5-Capex'!L14+'A5-Capex'!L32</f>
        <v>0</v>
      </c>
      <c r="F13" s="1629"/>
      <c r="G13" s="1627"/>
      <c r="H13" s="1627"/>
      <c r="I13" s="1628"/>
      <c r="J13" s="370"/>
    </row>
    <row r="14" spans="1:10" ht="11.25" customHeight="1" x14ac:dyDescent="0.25">
      <c r="A14" s="1173" t="str">
        <f>'A5-Capex'!A15</f>
        <v>Vote 10 - [NAME OF VOTE 10]</v>
      </c>
      <c r="B14" s="182"/>
      <c r="C14" s="1472">
        <f>'A5-Capex'!J15+'A5-Capex'!J33</f>
        <v>0</v>
      </c>
      <c r="D14" s="1472">
        <f>'A5-Capex'!K15+'A5-Capex'!K33</f>
        <v>0</v>
      </c>
      <c r="E14" s="1473">
        <f>'A5-Capex'!L15+'A5-Capex'!L33</f>
        <v>0</v>
      </c>
      <c r="F14" s="1629"/>
      <c r="G14" s="1627"/>
      <c r="H14" s="1627"/>
      <c r="I14" s="1628"/>
      <c r="J14" s="370"/>
    </row>
    <row r="15" spans="1:10" ht="11.25" customHeight="1" x14ac:dyDescent="0.25">
      <c r="A15" s="1173" t="str">
        <f>'A5-Capex'!A16</f>
        <v>Vote 11 - [NAME OF VOTE 11]</v>
      </c>
      <c r="B15" s="182"/>
      <c r="C15" s="1472">
        <f>'A5-Capex'!J16+'A5-Capex'!J34</f>
        <v>0</v>
      </c>
      <c r="D15" s="1472">
        <f>'A5-Capex'!K16+'A5-Capex'!K34</f>
        <v>0</v>
      </c>
      <c r="E15" s="1473">
        <f>'A5-Capex'!L16+'A5-Capex'!L34</f>
        <v>0</v>
      </c>
      <c r="F15" s="1629"/>
      <c r="G15" s="1627"/>
      <c r="H15" s="1627"/>
      <c r="I15" s="1628"/>
      <c r="J15" s="370"/>
    </row>
    <row r="16" spans="1:10" ht="11.25" customHeight="1" x14ac:dyDescent="0.25">
      <c r="A16" s="1173" t="str">
        <f>'A5-Capex'!A17</f>
        <v>Vote 12 - [NAME OF VOTE 12]</v>
      </c>
      <c r="B16" s="182"/>
      <c r="C16" s="1472">
        <f>'A5-Capex'!J17+'A5-Capex'!J35</f>
        <v>0</v>
      </c>
      <c r="D16" s="1472">
        <f>'A5-Capex'!K17+'A5-Capex'!K35</f>
        <v>0</v>
      </c>
      <c r="E16" s="1473">
        <f>'A5-Capex'!L17+'A5-Capex'!L35</f>
        <v>0</v>
      </c>
      <c r="F16" s="1629"/>
      <c r="G16" s="1627"/>
      <c r="H16" s="1627"/>
      <c r="I16" s="1628"/>
      <c r="J16" s="370"/>
    </row>
    <row r="17" spans="1:10" ht="11.25" customHeight="1" x14ac:dyDescent="0.25">
      <c r="A17" s="1173" t="str">
        <f>'A5-Capex'!A18</f>
        <v>Vote 13 - [NAME OF VOTE 13]</v>
      </c>
      <c r="B17" s="182"/>
      <c r="C17" s="1472">
        <f>'A5-Capex'!J18+'A5-Capex'!J36</f>
        <v>0</v>
      </c>
      <c r="D17" s="1472">
        <f>'A5-Capex'!K18+'A5-Capex'!K36</f>
        <v>0</v>
      </c>
      <c r="E17" s="1473">
        <f>'A5-Capex'!L18+'A5-Capex'!L36</f>
        <v>0</v>
      </c>
      <c r="F17" s="1629"/>
      <c r="G17" s="1627"/>
      <c r="H17" s="1627"/>
      <c r="I17" s="1628"/>
      <c r="J17" s="370"/>
    </row>
    <row r="18" spans="1:10" ht="11.25" customHeight="1" x14ac:dyDescent="0.25">
      <c r="A18" s="1173" t="str">
        <f>'A5-Capex'!A19</f>
        <v>Vote 14 - [NAME OF VOTE 14]</v>
      </c>
      <c r="B18" s="182"/>
      <c r="C18" s="1472">
        <f>'A5-Capex'!J19+'A5-Capex'!J37</f>
        <v>0</v>
      </c>
      <c r="D18" s="1472">
        <f>'A5-Capex'!K19+'A5-Capex'!K37</f>
        <v>0</v>
      </c>
      <c r="E18" s="1473">
        <f>'A5-Capex'!L19+'A5-Capex'!L37</f>
        <v>0</v>
      </c>
      <c r="F18" s="1629"/>
      <c r="G18" s="1627"/>
      <c r="H18" s="1627"/>
      <c r="I18" s="1628"/>
      <c r="J18" s="370"/>
    </row>
    <row r="19" spans="1:10" ht="11.25" customHeight="1" x14ac:dyDescent="0.25">
      <c r="A19" s="1173" t="str">
        <f>'A5-Capex'!A20</f>
        <v>Vote 15 - [NAME OF VOTE 15]</v>
      </c>
      <c r="B19" s="182"/>
      <c r="C19" s="1472">
        <f>'A5-Capex'!J20+'A5-Capex'!J38</f>
        <v>0</v>
      </c>
      <c r="D19" s="1472">
        <f>'A5-Capex'!K20+'A5-Capex'!K38</f>
        <v>0</v>
      </c>
      <c r="E19" s="1473">
        <f>'A5-Capex'!L20+'A5-Capex'!L38</f>
        <v>0</v>
      </c>
      <c r="F19" s="1629"/>
      <c r="G19" s="1627"/>
      <c r="H19" s="1627"/>
      <c r="I19" s="1628"/>
      <c r="J19" s="370"/>
    </row>
    <row r="20" spans="1:10" ht="11.25" customHeight="1" x14ac:dyDescent="0.25">
      <c r="A20" s="1938" t="s">
        <v>1478</v>
      </c>
      <c r="B20" s="182"/>
      <c r="C20" s="1627"/>
      <c r="D20" s="1627"/>
      <c r="E20" s="1630"/>
      <c r="F20" s="1629"/>
      <c r="G20" s="1627"/>
      <c r="H20" s="1627"/>
      <c r="I20" s="1628"/>
      <c r="J20" s="370"/>
    </row>
    <row r="21" spans="1:10" ht="11.25" customHeight="1" x14ac:dyDescent="0.25">
      <c r="A21" s="1288" t="s">
        <v>38</v>
      </c>
      <c r="B21" s="182"/>
      <c r="C21" s="1352">
        <f>SUM(C5:C20)</f>
        <v>475658508</v>
      </c>
      <c r="D21" s="1352">
        <f t="shared" ref="D21:I21" si="0">SUM(D5:D20)</f>
        <v>254271000</v>
      </c>
      <c r="E21" s="1353">
        <f t="shared" si="0"/>
        <v>242390000</v>
      </c>
      <c r="F21" s="1351">
        <f t="shared" si="0"/>
        <v>0</v>
      </c>
      <c r="G21" s="1352">
        <f t="shared" si="0"/>
        <v>0</v>
      </c>
      <c r="H21" s="1352">
        <f t="shared" si="0"/>
        <v>0</v>
      </c>
      <c r="I21" s="1350">
        <f t="shared" si="0"/>
        <v>0</v>
      </c>
      <c r="J21" s="370"/>
    </row>
    <row r="22" spans="1:10" ht="4.5" customHeight="1" x14ac:dyDescent="0.25">
      <c r="A22" s="273"/>
      <c r="B22" s="182"/>
      <c r="C22" s="942"/>
      <c r="D22" s="942"/>
      <c r="E22" s="943"/>
      <c r="F22" s="944"/>
      <c r="G22" s="942"/>
      <c r="H22" s="942"/>
      <c r="I22" s="945"/>
      <c r="J22" s="370"/>
    </row>
    <row r="23" spans="1:10" ht="11.25" customHeight="1" x14ac:dyDescent="0.25">
      <c r="A23" s="249" t="s">
        <v>879</v>
      </c>
      <c r="B23" s="182">
        <v>2</v>
      </c>
      <c r="C23" s="938"/>
      <c r="D23" s="938"/>
      <c r="E23" s="939"/>
      <c r="F23" s="940"/>
      <c r="G23" s="938"/>
      <c r="H23" s="938"/>
      <c r="I23" s="941"/>
      <c r="J23" s="370"/>
    </row>
    <row r="24" spans="1:10" ht="11.25" customHeight="1" x14ac:dyDescent="0.25">
      <c r="A24" s="1173" t="str">
        <f>A5</f>
        <v xml:space="preserve">Vote 1 - Corporate Services </v>
      </c>
      <c r="B24" s="182"/>
      <c r="C24" s="1627"/>
      <c r="D24" s="1627"/>
      <c r="E24" s="1630"/>
      <c r="F24" s="1629"/>
      <c r="G24" s="1627"/>
      <c r="H24" s="1627"/>
      <c r="I24" s="1628"/>
      <c r="J24" s="370"/>
    </row>
    <row r="25" spans="1:10" ht="11.25" customHeight="1" x14ac:dyDescent="0.25">
      <c r="A25" s="1173" t="str">
        <f t="shared" ref="A25:A38" si="1">A6</f>
        <v>Vote 2 - Financial Management Area</v>
      </c>
      <c r="B25" s="182"/>
      <c r="C25" s="1627"/>
      <c r="D25" s="1627"/>
      <c r="E25" s="1630"/>
      <c r="F25" s="1629"/>
      <c r="G25" s="1627"/>
      <c r="H25" s="1627"/>
      <c r="I25" s="1628"/>
      <c r="J25" s="370"/>
    </row>
    <row r="26" spans="1:10" ht="11.25" customHeight="1" x14ac:dyDescent="0.25">
      <c r="A26" s="1173" t="str">
        <f t="shared" si="1"/>
        <v>Vote 3 - Infrastructure Development, Service Delivery and Maintenance Management</v>
      </c>
      <c r="B26" s="182"/>
      <c r="C26" s="1627"/>
      <c r="D26" s="1627"/>
      <c r="E26" s="1630"/>
      <c r="F26" s="1629"/>
      <c r="G26" s="1627"/>
      <c r="H26" s="1627"/>
      <c r="I26" s="1628"/>
      <c r="J26" s="370"/>
    </row>
    <row r="27" spans="1:10" ht="11.25" customHeight="1" x14ac:dyDescent="0.25">
      <c r="A27" s="1173" t="str">
        <f t="shared" si="1"/>
        <v>Vote 4 - Sustainable Community Service Delivery Provision Management</v>
      </c>
      <c r="B27" s="182"/>
      <c r="C27" s="1627"/>
      <c r="D27" s="1627"/>
      <c r="E27" s="1630"/>
      <c r="F27" s="1629"/>
      <c r="G27" s="1627"/>
      <c r="H27" s="1627"/>
      <c r="I27" s="1628"/>
      <c r="J27" s="370"/>
    </row>
    <row r="28" spans="1:10" ht="11.25" customHeight="1" x14ac:dyDescent="0.25">
      <c r="A28" s="1173" t="str">
        <f t="shared" si="1"/>
        <v>Vote 5 - [NAME OF VOTE 5]</v>
      </c>
      <c r="B28" s="182"/>
      <c r="C28" s="1627"/>
      <c r="D28" s="1627"/>
      <c r="E28" s="1630"/>
      <c r="F28" s="1629"/>
      <c r="G28" s="1627"/>
      <c r="H28" s="1627"/>
      <c r="I28" s="1628"/>
      <c r="J28" s="370"/>
    </row>
    <row r="29" spans="1:10" ht="11.25" customHeight="1" x14ac:dyDescent="0.25">
      <c r="A29" s="1173" t="str">
        <f t="shared" si="1"/>
        <v>Vote 6 - [NAME OF VOTE 6]</v>
      </c>
      <c r="B29" s="182"/>
      <c r="C29" s="1627"/>
      <c r="D29" s="1627"/>
      <c r="E29" s="1630"/>
      <c r="F29" s="1629"/>
      <c r="G29" s="1627"/>
      <c r="H29" s="1627"/>
      <c r="I29" s="1628"/>
      <c r="J29" s="370"/>
    </row>
    <row r="30" spans="1:10" ht="11.25" customHeight="1" x14ac:dyDescent="0.25">
      <c r="A30" s="1173" t="str">
        <f t="shared" si="1"/>
        <v>Vote 7 - [NAME OF VOTE 7]</v>
      </c>
      <c r="B30" s="182"/>
      <c r="C30" s="1627"/>
      <c r="D30" s="1627"/>
      <c r="E30" s="1630"/>
      <c r="F30" s="1629"/>
      <c r="G30" s="1627"/>
      <c r="H30" s="1627"/>
      <c r="I30" s="1628"/>
      <c r="J30" s="370"/>
    </row>
    <row r="31" spans="1:10" ht="11.25" customHeight="1" x14ac:dyDescent="0.25">
      <c r="A31" s="1173" t="str">
        <f t="shared" si="1"/>
        <v>Vote 8 - [NAME OF VOTE 8]</v>
      </c>
      <c r="B31" s="182"/>
      <c r="C31" s="1627"/>
      <c r="D31" s="1627"/>
      <c r="E31" s="1630"/>
      <c r="F31" s="1629"/>
      <c r="G31" s="1627"/>
      <c r="H31" s="1627"/>
      <c r="I31" s="1628"/>
      <c r="J31" s="370"/>
    </row>
    <row r="32" spans="1:10" ht="11.25" customHeight="1" x14ac:dyDescent="0.25">
      <c r="A32" s="1173" t="str">
        <f t="shared" si="1"/>
        <v>Vote 9 - [NAME OF VOTE 9]</v>
      </c>
      <c r="B32" s="182"/>
      <c r="C32" s="1627"/>
      <c r="D32" s="1627"/>
      <c r="E32" s="1630"/>
      <c r="F32" s="1629"/>
      <c r="G32" s="1627"/>
      <c r="H32" s="1627"/>
      <c r="I32" s="1628"/>
      <c r="J32" s="370"/>
    </row>
    <row r="33" spans="1:15" ht="11.25" customHeight="1" x14ac:dyDescent="0.25">
      <c r="A33" s="1173" t="str">
        <f t="shared" si="1"/>
        <v>Vote 10 - [NAME OF VOTE 10]</v>
      </c>
      <c r="B33" s="182"/>
      <c r="C33" s="1627"/>
      <c r="D33" s="1627"/>
      <c r="E33" s="1630"/>
      <c r="F33" s="1629"/>
      <c r="G33" s="1627"/>
      <c r="H33" s="1627"/>
      <c r="I33" s="1628"/>
      <c r="J33" s="370"/>
    </row>
    <row r="34" spans="1:15" ht="11.25" customHeight="1" x14ac:dyDescent="0.25">
      <c r="A34" s="1173" t="str">
        <f t="shared" si="1"/>
        <v>Vote 11 - [NAME OF VOTE 11]</v>
      </c>
      <c r="B34" s="182"/>
      <c r="C34" s="1627"/>
      <c r="D34" s="1627"/>
      <c r="E34" s="1630"/>
      <c r="F34" s="1629"/>
      <c r="G34" s="1627"/>
      <c r="H34" s="1627"/>
      <c r="I34" s="1628"/>
      <c r="J34" s="370"/>
    </row>
    <row r="35" spans="1:15" ht="11.25" customHeight="1" x14ac:dyDescent="0.25">
      <c r="A35" s="1173" t="str">
        <f t="shared" si="1"/>
        <v>Vote 12 - [NAME OF VOTE 12]</v>
      </c>
      <c r="B35" s="182"/>
      <c r="C35" s="1627"/>
      <c r="D35" s="1627"/>
      <c r="E35" s="1630"/>
      <c r="F35" s="1629"/>
      <c r="G35" s="1627"/>
      <c r="H35" s="1627"/>
      <c r="I35" s="1628"/>
      <c r="J35" s="370"/>
    </row>
    <row r="36" spans="1:15" ht="11.25" customHeight="1" x14ac:dyDescent="0.25">
      <c r="A36" s="1173" t="str">
        <f t="shared" si="1"/>
        <v>Vote 13 - [NAME OF VOTE 13]</v>
      </c>
      <c r="B36" s="182"/>
      <c r="C36" s="1627"/>
      <c r="D36" s="1627"/>
      <c r="E36" s="1630"/>
      <c r="F36" s="1629"/>
      <c r="G36" s="1627"/>
      <c r="H36" s="1627"/>
      <c r="I36" s="1628"/>
      <c r="J36" s="370"/>
    </row>
    <row r="37" spans="1:15" ht="11.25" customHeight="1" x14ac:dyDescent="0.25">
      <c r="A37" s="1173" t="str">
        <f t="shared" si="1"/>
        <v>Vote 14 - [NAME OF VOTE 14]</v>
      </c>
      <c r="B37" s="182"/>
      <c r="C37" s="1627"/>
      <c r="D37" s="1627"/>
      <c r="E37" s="1630"/>
      <c r="F37" s="1629"/>
      <c r="G37" s="1627"/>
      <c r="H37" s="1627"/>
      <c r="I37" s="1628"/>
      <c r="J37" s="370"/>
      <c r="O37" s="370"/>
    </row>
    <row r="38" spans="1:15" ht="11.25" customHeight="1" x14ac:dyDescent="0.25">
      <c r="A38" s="1173" t="str">
        <f t="shared" si="1"/>
        <v>Vote 15 - [NAME OF VOTE 15]</v>
      </c>
      <c r="B38" s="182"/>
      <c r="C38" s="1627"/>
      <c r="D38" s="1627"/>
      <c r="E38" s="1630"/>
      <c r="F38" s="1629"/>
      <c r="G38" s="1627"/>
      <c r="H38" s="1627"/>
      <c r="I38" s="1628"/>
      <c r="J38" s="370"/>
    </row>
    <row r="39" spans="1:15" ht="11.25" customHeight="1" x14ac:dyDescent="0.25">
      <c r="A39" s="1938" t="s">
        <v>1478</v>
      </c>
      <c r="B39" s="182"/>
      <c r="C39" s="1627"/>
      <c r="D39" s="1627"/>
      <c r="E39" s="1630"/>
      <c r="F39" s="1629"/>
      <c r="G39" s="1627"/>
      <c r="H39" s="1627"/>
      <c r="I39" s="1628"/>
      <c r="J39" s="370"/>
    </row>
    <row r="40" spans="1:15" x14ac:dyDescent="0.25">
      <c r="A40" s="265" t="s">
        <v>14</v>
      </c>
      <c r="B40" s="182"/>
      <c r="C40" s="1474">
        <f>SUM(C24:C39)</f>
        <v>0</v>
      </c>
      <c r="D40" s="1474">
        <f t="shared" ref="D40:I40" si="2">SUM(D24:D39)</f>
        <v>0</v>
      </c>
      <c r="E40" s="1475">
        <f t="shared" si="2"/>
        <v>0</v>
      </c>
      <c r="F40" s="1476">
        <f t="shared" si="2"/>
        <v>0</v>
      </c>
      <c r="G40" s="1474">
        <f t="shared" si="2"/>
        <v>0</v>
      </c>
      <c r="H40" s="1474">
        <f t="shared" si="2"/>
        <v>0</v>
      </c>
      <c r="I40" s="1477">
        <f t="shared" si="2"/>
        <v>0</v>
      </c>
      <c r="J40" s="370"/>
    </row>
    <row r="41" spans="1:15" ht="4.5" customHeight="1" x14ac:dyDescent="0.25">
      <c r="A41" s="273"/>
      <c r="B41" s="182"/>
      <c r="C41" s="938"/>
      <c r="D41" s="938"/>
      <c r="E41" s="939"/>
      <c r="F41" s="940"/>
      <c r="G41" s="938"/>
      <c r="H41" s="938"/>
      <c r="I41" s="941"/>
      <c r="J41" s="370"/>
    </row>
    <row r="42" spans="1:15" ht="11.25" customHeight="1" x14ac:dyDescent="0.25">
      <c r="A42" s="249" t="s">
        <v>880</v>
      </c>
      <c r="B42" s="182">
        <v>3</v>
      </c>
      <c r="C42" s="938"/>
      <c r="D42" s="938"/>
      <c r="E42" s="939"/>
      <c r="F42" s="940"/>
      <c r="G42" s="938"/>
      <c r="H42" s="938"/>
      <c r="I42" s="941"/>
      <c r="J42" s="370"/>
    </row>
    <row r="43" spans="1:15" ht="11.25" customHeight="1" x14ac:dyDescent="0.25">
      <c r="A43" s="1173" t="str">
        <f>'A4-FinPerf RE'!A5</f>
        <v>Property rates</v>
      </c>
      <c r="B43" s="182"/>
      <c r="C43" s="1627"/>
      <c r="D43" s="1627"/>
      <c r="E43" s="1630"/>
      <c r="F43" s="1629"/>
      <c r="G43" s="1627"/>
      <c r="H43" s="1627"/>
      <c r="I43" s="1628"/>
      <c r="J43" s="370"/>
    </row>
    <row r="44" spans="1:15" ht="11.25" customHeight="1" x14ac:dyDescent="0.25">
      <c r="A44" s="1173" t="str">
        <f>'A4-FinPerf RE'!A6</f>
        <v>Property rates - penalties &amp; collection charges</v>
      </c>
      <c r="B44" s="182"/>
      <c r="C44" s="1627"/>
      <c r="D44" s="1627"/>
      <c r="E44" s="1630"/>
      <c r="F44" s="1629"/>
      <c r="G44" s="1627"/>
      <c r="H44" s="1627"/>
      <c r="I44" s="1628"/>
      <c r="J44" s="370"/>
    </row>
    <row r="45" spans="1:15" ht="11.25" customHeight="1" x14ac:dyDescent="0.25">
      <c r="A45" s="1173" t="str">
        <f>'A4-FinPerf RE'!A7</f>
        <v>Service charges - electricity revenue</v>
      </c>
      <c r="B45" s="182"/>
      <c r="C45" s="1627"/>
      <c r="D45" s="1627"/>
      <c r="E45" s="1630"/>
      <c r="F45" s="1629"/>
      <c r="G45" s="1627"/>
      <c r="H45" s="1627"/>
      <c r="I45" s="1628"/>
      <c r="J45" s="370"/>
    </row>
    <row r="46" spans="1:15" ht="11.25" customHeight="1" x14ac:dyDescent="0.25">
      <c r="A46" s="1173" t="str">
        <f>'A4-FinPerf RE'!A8</f>
        <v>Service charges - water revenue</v>
      </c>
      <c r="B46" s="182"/>
      <c r="C46" s="1627"/>
      <c r="D46" s="1627"/>
      <c r="E46" s="1630"/>
      <c r="F46" s="1629"/>
      <c r="G46" s="1627"/>
      <c r="H46" s="1627"/>
      <c r="I46" s="1628"/>
      <c r="J46" s="370"/>
    </row>
    <row r="47" spans="1:15" ht="11.25" customHeight="1" x14ac:dyDescent="0.25">
      <c r="A47" s="1173" t="str">
        <f>'A4-FinPerf RE'!A9</f>
        <v>Service charges - sanitation revenue</v>
      </c>
      <c r="B47" s="182"/>
      <c r="C47" s="1627"/>
      <c r="D47" s="1627"/>
      <c r="E47" s="1630"/>
      <c r="F47" s="1629"/>
      <c r="G47" s="1627"/>
      <c r="H47" s="1627"/>
      <c r="I47" s="1628"/>
      <c r="J47" s="370"/>
    </row>
    <row r="48" spans="1:15" ht="11.25" customHeight="1" x14ac:dyDescent="0.25">
      <c r="A48" s="1173" t="str">
        <f>'A4-FinPerf RE'!A10</f>
        <v>Service charges - refuse revenue</v>
      </c>
      <c r="B48" s="182"/>
      <c r="C48" s="1627"/>
      <c r="D48" s="1627"/>
      <c r="E48" s="1630"/>
      <c r="F48" s="1629"/>
      <c r="G48" s="1627"/>
      <c r="H48" s="1627"/>
      <c r="I48" s="1628"/>
      <c r="J48" s="370"/>
    </row>
    <row r="49" spans="1:10" ht="11.25" customHeight="1" x14ac:dyDescent="0.25">
      <c r="A49" s="1173" t="str">
        <f>'A4-FinPerf RE'!A11</f>
        <v>Service charges - other</v>
      </c>
      <c r="B49" s="182"/>
      <c r="C49" s="1627"/>
      <c r="D49" s="1627"/>
      <c r="E49" s="1630"/>
      <c r="F49" s="1629"/>
      <c r="G49" s="1627"/>
      <c r="H49" s="1627"/>
      <c r="I49" s="1628"/>
      <c r="J49" s="370"/>
    </row>
    <row r="50" spans="1:10" ht="11.25" customHeight="1" x14ac:dyDescent="0.25">
      <c r="A50" s="1173" t="str">
        <f>'A4-FinPerf RE'!A12</f>
        <v>Rental of facilities and equipment</v>
      </c>
      <c r="B50" s="182"/>
      <c r="C50" s="1627"/>
      <c r="D50" s="1627"/>
      <c r="E50" s="1630"/>
      <c r="F50" s="1629"/>
      <c r="G50" s="1627"/>
      <c r="H50" s="1627"/>
      <c r="I50" s="1628"/>
      <c r="J50" s="370"/>
    </row>
    <row r="51" spans="1:10" ht="11.25" customHeight="1" x14ac:dyDescent="0.25">
      <c r="A51" s="1938" t="s">
        <v>298</v>
      </c>
      <c r="B51" s="182"/>
      <c r="C51" s="1627"/>
      <c r="D51" s="1627"/>
      <c r="E51" s="1630"/>
      <c r="F51" s="1629"/>
      <c r="G51" s="1627"/>
      <c r="H51" s="1627"/>
      <c r="I51" s="1628"/>
      <c r="J51" s="370"/>
    </row>
    <row r="52" spans="1:10" ht="11.25" customHeight="1" x14ac:dyDescent="0.25">
      <c r="A52" s="1938" t="s">
        <v>1478</v>
      </c>
      <c r="B52" s="182"/>
      <c r="C52" s="1627"/>
      <c r="D52" s="1627"/>
      <c r="E52" s="1630"/>
      <c r="F52" s="1629"/>
      <c r="G52" s="1627"/>
      <c r="H52" s="1627"/>
      <c r="I52" s="1628"/>
      <c r="J52" s="370"/>
    </row>
    <row r="53" spans="1:10" x14ac:dyDescent="0.25">
      <c r="A53" s="265" t="s">
        <v>124</v>
      </c>
      <c r="B53" s="182"/>
      <c r="C53" s="1474">
        <f>SUM(C43:C52)</f>
        <v>0</v>
      </c>
      <c r="D53" s="1474">
        <f t="shared" ref="D53:I53" si="3">SUM(D43:D52)</f>
        <v>0</v>
      </c>
      <c r="E53" s="1475">
        <f t="shared" si="3"/>
        <v>0</v>
      </c>
      <c r="F53" s="1476">
        <f t="shared" si="3"/>
        <v>0</v>
      </c>
      <c r="G53" s="1474">
        <f t="shared" si="3"/>
        <v>0</v>
      </c>
      <c r="H53" s="1474">
        <f t="shared" si="3"/>
        <v>0</v>
      </c>
      <c r="I53" s="1477">
        <f t="shared" si="3"/>
        <v>0</v>
      </c>
      <c r="J53" s="370"/>
    </row>
    <row r="54" spans="1:10" x14ac:dyDescent="0.25">
      <c r="A54" s="281" t="s">
        <v>881</v>
      </c>
      <c r="B54" s="225"/>
      <c r="C54" s="227">
        <f t="shared" ref="C54:I54" si="4">C21+C40-C53</f>
        <v>475658508</v>
      </c>
      <c r="D54" s="227">
        <f t="shared" si="4"/>
        <v>254271000</v>
      </c>
      <c r="E54" s="226">
        <f t="shared" si="4"/>
        <v>242390000</v>
      </c>
      <c r="F54" s="353">
        <f t="shared" si="4"/>
        <v>0</v>
      </c>
      <c r="G54" s="227">
        <f t="shared" si="4"/>
        <v>0</v>
      </c>
      <c r="H54" s="227">
        <f t="shared" si="4"/>
        <v>0</v>
      </c>
      <c r="I54" s="352">
        <f t="shared" si="4"/>
        <v>0</v>
      </c>
      <c r="J54" s="370"/>
    </row>
    <row r="55" spans="1:10" s="709" customFormat="1" ht="11.25" customHeight="1" x14ac:dyDescent="0.25">
      <c r="A55" s="1261" t="str">
        <f>head27a</f>
        <v>References</v>
      </c>
      <c r="B55" s="1082"/>
      <c r="C55" s="1078"/>
      <c r="D55" s="1078"/>
      <c r="E55" s="1078"/>
      <c r="F55" s="1078"/>
      <c r="G55" s="1078"/>
      <c r="H55" s="1078"/>
      <c r="I55" s="1078"/>
    </row>
    <row r="56" spans="1:10" s="709" customFormat="1" ht="11.25" customHeight="1" x14ac:dyDescent="0.25">
      <c r="A56" s="1262" t="s">
        <v>19</v>
      </c>
      <c r="B56" s="1078"/>
      <c r="C56" s="1078"/>
      <c r="D56" s="1078"/>
      <c r="E56" s="1078"/>
      <c r="F56" s="1078"/>
      <c r="G56" s="1078"/>
      <c r="H56" s="1078"/>
      <c r="I56" s="1078"/>
    </row>
    <row r="57" spans="1:10" s="709" customFormat="1" ht="11.25" customHeight="1" x14ac:dyDescent="0.25">
      <c r="A57" s="1262" t="s">
        <v>20</v>
      </c>
      <c r="B57" s="1078"/>
      <c r="C57" s="1078"/>
      <c r="D57" s="1078"/>
      <c r="E57" s="1078"/>
      <c r="F57" s="1078"/>
      <c r="G57" s="1078"/>
      <c r="H57" s="1078"/>
      <c r="I57" s="1078"/>
    </row>
    <row r="58" spans="1:10" s="709" customFormat="1" ht="11.25" customHeight="1" x14ac:dyDescent="0.25">
      <c r="A58" s="1427" t="s">
        <v>1477</v>
      </c>
      <c r="B58" s="1088"/>
      <c r="C58" s="1088"/>
      <c r="D58" s="1088"/>
      <c r="E58" s="1088"/>
      <c r="F58" s="1088"/>
      <c r="G58" s="1088"/>
      <c r="H58" s="1088"/>
      <c r="I58" s="1088"/>
    </row>
    <row r="59" spans="1:10" ht="11.25" customHeight="1" x14ac:dyDescent="0.25">
      <c r="B59" s="149"/>
    </row>
    <row r="60" spans="1:10" x14ac:dyDescent="0.25">
      <c r="A60" s="437" t="s">
        <v>1512</v>
      </c>
      <c r="B60" s="149"/>
      <c r="C60" s="939">
        <f>C21-('A5-Capex'!J21+'A5-Capex'!J39)</f>
        <v>0</v>
      </c>
      <c r="D60" s="939">
        <f>D21-('A5-Capex'!K21+'A5-Capex'!K39)</f>
        <v>0</v>
      </c>
      <c r="E60" s="939">
        <f>E21-('A5-Capex'!L21+'A5-Capex'!L39)</f>
        <v>0</v>
      </c>
      <c r="F60" s="370"/>
    </row>
    <row r="61" spans="1:10" ht="11.25" customHeight="1" x14ac:dyDescent="0.25">
      <c r="B61" s="149"/>
    </row>
    <row r="62" spans="1:10" ht="11.25" customHeight="1" x14ac:dyDescent="0.25">
      <c r="B62" s="149"/>
    </row>
    <row r="63" spans="1:10" ht="11.25" customHeight="1" x14ac:dyDescent="0.25">
      <c r="B63" s="149"/>
    </row>
    <row r="64" spans="1:10" ht="11.25" customHeight="1" x14ac:dyDescent="0.25">
      <c r="B64" s="149"/>
    </row>
    <row r="65" spans="2:2" ht="11.25" customHeight="1" x14ac:dyDescent="0.25">
      <c r="B65" s="149"/>
    </row>
    <row r="66" spans="2:2" ht="11.25" customHeight="1" x14ac:dyDescent="0.25">
      <c r="B66" s="149"/>
    </row>
    <row r="67" spans="2:2" ht="11.25" customHeight="1" x14ac:dyDescent="0.25">
      <c r="B67" s="149"/>
    </row>
    <row r="68" spans="2:2" ht="11.25" customHeight="1" x14ac:dyDescent="0.25">
      <c r="B68" s="149"/>
    </row>
    <row r="69" spans="2:2" ht="11.25" customHeight="1" x14ac:dyDescent="0.25">
      <c r="B69" s="149"/>
    </row>
    <row r="70" spans="2:2" ht="11.25" customHeight="1" x14ac:dyDescent="0.25">
      <c r="B70" s="149"/>
    </row>
    <row r="71" spans="2:2" ht="11.25" customHeight="1" x14ac:dyDescent="0.25">
      <c r="B71" s="149"/>
    </row>
    <row r="72" spans="2:2" ht="11.25" customHeight="1" x14ac:dyDescent="0.25">
      <c r="B72" s="149"/>
    </row>
    <row r="73" spans="2:2" ht="11.25" customHeight="1" x14ac:dyDescent="0.25">
      <c r="B73" s="149"/>
    </row>
    <row r="74" spans="2:2" ht="11.25" customHeight="1" x14ac:dyDescent="0.25">
      <c r="B74" s="149"/>
    </row>
    <row r="75" spans="2:2" ht="11.25" customHeight="1" x14ac:dyDescent="0.25">
      <c r="B75" s="149"/>
    </row>
    <row r="76" spans="2:2" ht="11.25" customHeight="1" x14ac:dyDescent="0.25">
      <c r="B76" s="149"/>
    </row>
    <row r="77" spans="2:2" ht="11.25" customHeight="1" x14ac:dyDescent="0.25">
      <c r="B77" s="149"/>
    </row>
    <row r="78" spans="2:2" x14ac:dyDescent="0.25">
      <c r="B78" s="149"/>
    </row>
    <row r="79" spans="2:2" ht="11.25" customHeight="1" x14ac:dyDescent="0.25">
      <c r="B79" s="149"/>
    </row>
    <row r="80" spans="2:2" ht="11.25" customHeight="1" x14ac:dyDescent="0.25">
      <c r="B80" s="149"/>
    </row>
    <row r="81" spans="2:9" ht="11.25" customHeight="1" x14ac:dyDescent="0.25">
      <c r="B81" s="149"/>
    </row>
    <row r="82" spans="2:9" ht="11.25" customHeight="1" x14ac:dyDescent="0.25">
      <c r="B82" s="149"/>
    </row>
    <row r="83" spans="2:9" ht="11.25" customHeight="1" x14ac:dyDescent="0.25">
      <c r="B83" s="149"/>
    </row>
    <row r="84" spans="2:9" ht="11.25" customHeight="1" x14ac:dyDescent="0.25">
      <c r="B84" s="149"/>
    </row>
    <row r="85" spans="2:9" ht="6" customHeight="1" x14ac:dyDescent="0.25">
      <c r="B85" s="149"/>
    </row>
    <row r="86" spans="2:9" ht="11.25" customHeight="1" x14ac:dyDescent="0.25">
      <c r="B86" s="149"/>
    </row>
    <row r="87" spans="2:9" ht="11.25" customHeight="1" x14ac:dyDescent="0.25">
      <c r="B87" s="149"/>
    </row>
    <row r="88" spans="2:9" ht="11.25" customHeight="1" x14ac:dyDescent="0.25">
      <c r="B88" s="149"/>
    </row>
    <row r="89" spans="2:9" ht="11.25" customHeight="1" x14ac:dyDescent="0.25">
      <c r="B89" s="149"/>
    </row>
    <row r="90" spans="2:9" ht="11.25" customHeight="1" x14ac:dyDescent="0.25">
      <c r="B90" s="149"/>
    </row>
    <row r="91" spans="2:9" ht="11.25" customHeight="1" x14ac:dyDescent="0.25">
      <c r="B91" s="149"/>
    </row>
    <row r="92" spans="2:9" ht="11.25" customHeight="1" x14ac:dyDescent="0.25">
      <c r="B92" s="149"/>
    </row>
    <row r="93" spans="2:9" ht="11.25" customHeight="1" x14ac:dyDescent="0.25">
      <c r="B93" s="149"/>
    </row>
    <row r="94" spans="2:9" ht="11.25" customHeight="1" x14ac:dyDescent="0.25">
      <c r="B94" s="149"/>
    </row>
    <row r="95" spans="2:9" ht="11.25" customHeight="1" x14ac:dyDescent="0.25">
      <c r="B95" s="149"/>
    </row>
    <row r="96" spans="2:9" ht="11.25" customHeight="1" x14ac:dyDescent="0.25">
      <c r="B96" s="149"/>
      <c r="I96" s="334"/>
    </row>
    <row r="97" spans="1:8" ht="11.25" customHeight="1" x14ac:dyDescent="0.25">
      <c r="B97" s="149"/>
    </row>
    <row r="98" spans="1:8" ht="11.25" customHeight="1" x14ac:dyDescent="0.25">
      <c r="B98" s="149"/>
    </row>
    <row r="99" spans="1:8" ht="11.25" customHeight="1" x14ac:dyDescent="0.25">
      <c r="B99" s="149"/>
    </row>
    <row r="100" spans="1:8" x14ac:dyDescent="0.25">
      <c r="B100" s="149"/>
    </row>
    <row r="101" spans="1:8" x14ac:dyDescent="0.25">
      <c r="B101" s="149"/>
    </row>
    <row r="102" spans="1:8" ht="11.25" customHeight="1" x14ac:dyDescent="0.25">
      <c r="B102" s="149"/>
    </row>
    <row r="103" spans="1:8" x14ac:dyDescent="0.25">
      <c r="B103" s="149"/>
    </row>
    <row r="104" spans="1:8" x14ac:dyDescent="0.25">
      <c r="B104" s="149"/>
    </row>
    <row r="105" spans="1:8" x14ac:dyDescent="0.25">
      <c r="B105" s="149"/>
    </row>
    <row r="106" spans="1:8" x14ac:dyDescent="0.25">
      <c r="B106" s="149"/>
    </row>
    <row r="107" spans="1:8" ht="11.25" customHeight="1" x14ac:dyDescent="0.25">
      <c r="B107" s="149"/>
    </row>
    <row r="108" spans="1:8" s="335" customFormat="1" ht="11.25" customHeight="1" x14ac:dyDescent="0.25">
      <c r="A108" s="149"/>
      <c r="B108" s="149"/>
      <c r="C108" s="149"/>
      <c r="D108" s="149"/>
      <c r="E108" s="149"/>
      <c r="F108" s="149"/>
      <c r="G108" s="149"/>
      <c r="H108" s="149"/>
    </row>
    <row r="109" spans="1:8" ht="11.25" customHeight="1" x14ac:dyDescent="0.25">
      <c r="B109" s="149"/>
    </row>
    <row r="110" spans="1:8" ht="11.25" customHeight="1" x14ac:dyDescent="0.25">
      <c r="B110" s="149"/>
    </row>
    <row r="111" spans="1:8" ht="11.25" customHeight="1" x14ac:dyDescent="0.25">
      <c r="B111" s="149"/>
    </row>
    <row r="112" spans="1:8" ht="11.25" customHeight="1" x14ac:dyDescent="0.25">
      <c r="B112" s="149"/>
    </row>
    <row r="113" spans="2:2" ht="11.25" customHeight="1" x14ac:dyDescent="0.25">
      <c r="B113" s="149"/>
    </row>
    <row r="114" spans="2:2" ht="11.25" customHeight="1" x14ac:dyDescent="0.25">
      <c r="B114" s="149"/>
    </row>
    <row r="115" spans="2:2" ht="11.25" customHeight="1" x14ac:dyDescent="0.25">
      <c r="B115" s="149"/>
    </row>
    <row r="116" spans="2:2" ht="11.25" customHeight="1" x14ac:dyDescent="0.25">
      <c r="B116" s="149"/>
    </row>
    <row r="117" spans="2:2" ht="11.25" customHeight="1" x14ac:dyDescent="0.25">
      <c r="B117" s="149"/>
    </row>
    <row r="118" spans="2:2" ht="11.25" customHeight="1" x14ac:dyDescent="0.25">
      <c r="B118" s="149"/>
    </row>
    <row r="119" spans="2:2" ht="11.25" customHeight="1" x14ac:dyDescent="0.25">
      <c r="B119" s="149"/>
    </row>
    <row r="120" spans="2:2" ht="11.25" customHeight="1" x14ac:dyDescent="0.25">
      <c r="B120" s="149"/>
    </row>
    <row r="121" spans="2:2" ht="11.25" customHeight="1" x14ac:dyDescent="0.25">
      <c r="B121" s="149"/>
    </row>
    <row r="122" spans="2:2" ht="11.25" customHeight="1" x14ac:dyDescent="0.25">
      <c r="B122" s="149"/>
    </row>
    <row r="123" spans="2:2" ht="11.25" customHeight="1" x14ac:dyDescent="0.25">
      <c r="B123" s="149"/>
    </row>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sheetData>
  <sheetProtection sheet="1" objects="1" scenarios="1"/>
  <mergeCells count="2">
    <mergeCell ref="F2:I2"/>
    <mergeCell ref="C2:E2"/>
  </mergeCells>
  <phoneticPr fontId="2" type="noConversion"/>
  <printOptions horizontalCentered="1"/>
  <pageMargins left="0" right="0" top="0.78740157480314965" bottom="0.59055118110236227" header="0.51181102362204722" footer="0.39370078740157483"/>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indexed="44"/>
  </sheetPr>
  <dimension ref="A1:Y1528"/>
  <sheetViews>
    <sheetView showGridLines="0" view="pageBreakPreview" topLeftCell="A46" zoomScale="60" zoomScaleNormal="100" workbookViewId="0">
      <selection activeCell="I57" sqref="I57"/>
    </sheetView>
  </sheetViews>
  <sheetFormatPr defaultColWidth="9.1796875" defaultRowHeight="13" x14ac:dyDescent="0.3"/>
  <cols>
    <col min="1" max="1" width="20.7265625" style="2241" customWidth="1"/>
    <col min="2" max="2" width="40.7265625" style="2241" customWidth="1"/>
    <col min="3" max="3" width="20.7265625" style="2241" customWidth="1"/>
    <col min="4" max="4" width="40.7265625" style="2241" customWidth="1"/>
    <col min="5" max="5" width="8.81640625" style="1438" customWidth="1"/>
    <col min="6" max="10" width="8.7265625" style="1439" customWidth="1"/>
    <col min="11" max="15" width="12.81640625" style="1439" customWidth="1"/>
    <col min="16" max="17" width="30.7265625" style="1439" customWidth="1"/>
    <col min="18" max="16384" width="9.1796875" style="1440"/>
  </cols>
  <sheetData>
    <row r="1" spans="1:17" ht="13.5" customHeight="1" x14ac:dyDescent="0.3">
      <c r="A1" s="1437" t="str">
        <f>muni&amp;" - "&amp;" Contact Information"</f>
        <v>KZN225 Msunduzi -  Contact Information</v>
      </c>
      <c r="B1" s="2240"/>
    </row>
    <row r="2" spans="1:17" ht="13.5" customHeight="1" x14ac:dyDescent="0.3">
      <c r="A2" s="2242"/>
      <c r="B2" s="2243"/>
      <c r="C2" s="2242"/>
      <c r="D2" s="2242"/>
    </row>
    <row r="3" spans="1:17" ht="13.5" customHeight="1" thickBot="1" x14ac:dyDescent="0.35">
      <c r="A3" s="2244" t="s">
        <v>1027</v>
      </c>
      <c r="B3" s="2245"/>
      <c r="C3" s="2242"/>
      <c r="D3" s="2242"/>
    </row>
    <row r="4" spans="1:17" ht="13.5" customHeight="1" thickTop="1" x14ac:dyDescent="0.3">
      <c r="A4" s="2246" t="s">
        <v>1028</v>
      </c>
      <c r="B4" s="2247" t="str">
        <f>muni</f>
        <v>KZN225 Msunduzi</v>
      </c>
      <c r="C4" s="2248" t="str">
        <f>IF(B4="Choose name from List","Set name on 'Instructions' sheet", "")</f>
        <v/>
      </c>
      <c r="D4" s="2249"/>
      <c r="F4" s="1442"/>
      <c r="G4" s="1442"/>
      <c r="H4" s="1442"/>
      <c r="I4" s="1443"/>
      <c r="J4" s="1442"/>
      <c r="K4" s="1444"/>
      <c r="L4" s="1444"/>
      <c r="M4" s="1444"/>
      <c r="N4" s="1444"/>
      <c r="O4" s="1444"/>
      <c r="P4" s="1525"/>
      <c r="Q4" s="1446"/>
    </row>
    <row r="5" spans="1:17" ht="13.5" customHeight="1" x14ac:dyDescent="0.3">
      <c r="A5" s="2250"/>
      <c r="B5" s="2251"/>
      <c r="C5" s="2249"/>
      <c r="D5" s="2249"/>
      <c r="F5" s="1442"/>
      <c r="G5" s="1442"/>
      <c r="H5" s="1442"/>
      <c r="I5" s="1443"/>
      <c r="J5" s="1442"/>
      <c r="K5" s="1444"/>
      <c r="L5" s="1444"/>
      <c r="M5" s="1444"/>
      <c r="N5" s="1444"/>
      <c r="O5" s="1444"/>
      <c r="P5" s="1525"/>
      <c r="Q5" s="1448"/>
    </row>
    <row r="6" spans="1:17" s="1449" customFormat="1" ht="13.5" customHeight="1" x14ac:dyDescent="0.3">
      <c r="A6" s="2252" t="s">
        <v>118</v>
      </c>
      <c r="B6" s="2253">
        <v>1</v>
      </c>
      <c r="C6" s="2254" t="s">
        <v>119</v>
      </c>
      <c r="D6" s="2255"/>
      <c r="E6" s="1447"/>
      <c r="F6" s="1442"/>
      <c r="G6" s="1442"/>
      <c r="H6" s="1443"/>
      <c r="I6" s="1443"/>
      <c r="J6" s="1442"/>
      <c r="K6" s="1444"/>
      <c r="L6" s="1444"/>
      <c r="M6" s="1444"/>
      <c r="N6" s="1444"/>
      <c r="O6" s="1444"/>
      <c r="P6" s="1525"/>
      <c r="Q6" s="1446"/>
    </row>
    <row r="7" spans="1:17" s="1449" customFormat="1" ht="13.5" customHeight="1" x14ac:dyDescent="0.3">
      <c r="A7" s="2256"/>
      <c r="B7" s="2257"/>
      <c r="C7" s="2255"/>
      <c r="D7" s="2255"/>
      <c r="E7" s="1447"/>
      <c r="F7" s="1442"/>
      <c r="G7" s="1442"/>
      <c r="H7" s="1443"/>
      <c r="I7" s="1443"/>
      <c r="J7" s="1442"/>
      <c r="K7" s="1444"/>
      <c r="L7" s="1444"/>
      <c r="M7" s="1444"/>
      <c r="N7" s="1444"/>
      <c r="O7" s="1444"/>
      <c r="P7" s="1525"/>
      <c r="Q7" s="1446"/>
    </row>
    <row r="8" spans="1:17" s="1449" customFormat="1" ht="13.5" customHeight="1" x14ac:dyDescent="0.3">
      <c r="A8" s="2258" t="s">
        <v>120</v>
      </c>
      <c r="B8" s="2259" t="str">
        <f>IF(B4&gt;" ",VLOOKUP(B4,'Lookup and lists'!B29:C307,2, FALSE)," ")</f>
        <v>KZN KWAZULU-NATAL</v>
      </c>
      <c r="C8" s="2656"/>
      <c r="D8" s="2656"/>
      <c r="E8" s="1447"/>
      <c r="F8" s="1442"/>
      <c r="G8" s="1442"/>
      <c r="H8" s="1443"/>
      <c r="I8" s="1443"/>
      <c r="J8" s="1442"/>
      <c r="K8" s="1444"/>
      <c r="L8" s="1444"/>
      <c r="M8" s="1444"/>
      <c r="N8" s="1444"/>
      <c r="O8" s="1444"/>
      <c r="P8" s="1525"/>
      <c r="Q8" s="1446"/>
    </row>
    <row r="9" spans="1:17" s="1449" customFormat="1" ht="13.5" customHeight="1" x14ac:dyDescent="0.3">
      <c r="A9" s="2261"/>
      <c r="B9" s="2262"/>
      <c r="C9" s="2260"/>
      <c r="D9" s="2260"/>
      <c r="E9" s="1447"/>
      <c r="F9" s="1442"/>
      <c r="G9" s="1442"/>
      <c r="H9" s="1443"/>
      <c r="I9" s="1443"/>
      <c r="J9" s="1442"/>
      <c r="K9" s="1444"/>
      <c r="L9" s="1444"/>
      <c r="M9" s="1444"/>
      <c r="N9" s="1444"/>
      <c r="O9" s="1444"/>
      <c r="P9" s="1525"/>
      <c r="Q9" s="1446"/>
    </row>
    <row r="10" spans="1:17" ht="13.5" customHeight="1" x14ac:dyDescent="0.3">
      <c r="A10" s="2263" t="s">
        <v>121</v>
      </c>
      <c r="B10" s="2641" t="s">
        <v>2701</v>
      </c>
      <c r="C10" s="2264"/>
      <c r="D10" s="2265"/>
      <c r="F10" s="1443"/>
      <c r="G10" s="1442"/>
      <c r="H10" s="1443"/>
      <c r="I10" s="1443"/>
      <c r="J10" s="1442"/>
      <c r="K10" s="1444"/>
      <c r="L10" s="1444"/>
      <c r="M10" s="1444"/>
      <c r="N10" s="1444"/>
      <c r="O10" s="1444"/>
      <c r="P10" s="1525"/>
      <c r="Q10" s="1446"/>
    </row>
    <row r="11" spans="1:17" ht="13.5" customHeight="1" x14ac:dyDescent="0.3">
      <c r="A11" s="2266"/>
      <c r="B11" s="2267"/>
      <c r="C11" s="2661"/>
      <c r="D11" s="2662"/>
      <c r="F11" s="1443"/>
      <c r="G11" s="1442"/>
      <c r="H11" s="1443"/>
      <c r="I11" s="1443"/>
      <c r="J11" s="1442"/>
      <c r="K11" s="1444"/>
      <c r="L11" s="1444"/>
      <c r="M11" s="1444"/>
      <c r="N11" s="1444"/>
      <c r="O11" s="1444"/>
      <c r="P11" s="1525"/>
      <c r="Q11" s="1448"/>
    </row>
    <row r="12" spans="1:17" ht="13.5" customHeight="1" x14ac:dyDescent="0.3">
      <c r="A12" s="2263" t="s">
        <v>1741</v>
      </c>
      <c r="B12" s="2268"/>
      <c r="C12" s="2269"/>
      <c r="D12" s="2269"/>
      <c r="F12" s="1443"/>
      <c r="G12" s="1443"/>
      <c r="H12" s="1443"/>
      <c r="I12" s="1443"/>
      <c r="J12" s="1442"/>
      <c r="K12" s="1444"/>
      <c r="L12" s="1444"/>
      <c r="M12" s="1444"/>
      <c r="N12" s="1444"/>
      <c r="O12" s="1444"/>
      <c r="P12" s="1525"/>
      <c r="Q12" s="1446"/>
    </row>
    <row r="13" spans="1:17" ht="13.5" customHeight="1" x14ac:dyDescent="0.3">
      <c r="A13" s="2270"/>
      <c r="B13" s="2271"/>
      <c r="C13" s="2663"/>
      <c r="D13" s="2663"/>
      <c r="F13" s="1443"/>
      <c r="G13" s="1443"/>
      <c r="H13" s="1443"/>
      <c r="I13" s="1450"/>
      <c r="J13" s="1443"/>
      <c r="K13" s="1444"/>
      <c r="L13" s="1444"/>
      <c r="M13" s="1444"/>
      <c r="N13" s="1444"/>
      <c r="O13" s="1444"/>
      <c r="P13" s="1525"/>
    </row>
    <row r="14" spans="1:17" ht="13.5" customHeight="1" thickBot="1" x14ac:dyDescent="0.35">
      <c r="A14" s="2657" t="s">
        <v>1745</v>
      </c>
      <c r="B14" s="2658"/>
      <c r="C14" s="2272"/>
      <c r="D14" s="2272"/>
      <c r="F14" s="1443"/>
      <c r="G14" s="1443"/>
      <c r="H14" s="1450"/>
      <c r="I14" s="1451"/>
      <c r="J14" s="1443"/>
      <c r="K14" s="1444"/>
      <c r="L14" s="1444"/>
      <c r="M14" s="1444"/>
      <c r="N14" s="1444"/>
      <c r="O14" s="1444"/>
      <c r="P14" s="1525"/>
    </row>
    <row r="15" spans="1:17" ht="13.5" customHeight="1" thickTop="1" x14ac:dyDescent="0.3">
      <c r="A15" s="2273" t="s">
        <v>1746</v>
      </c>
      <c r="B15" s="2274"/>
      <c r="F15" s="1450"/>
      <c r="G15" s="1443"/>
      <c r="H15" s="1451"/>
      <c r="I15" s="1451"/>
      <c r="J15" s="1443"/>
      <c r="K15" s="1444"/>
      <c r="L15" s="1444"/>
      <c r="M15" s="1444"/>
      <c r="N15" s="1444"/>
      <c r="O15" s="1444"/>
      <c r="P15" s="1525"/>
    </row>
    <row r="16" spans="1:17" s="1449" customFormat="1" ht="13.5" customHeight="1" x14ac:dyDescent="0.3">
      <c r="A16" s="2275" t="s">
        <v>1748</v>
      </c>
      <c r="B16" s="2276">
        <v>261</v>
      </c>
      <c r="C16" s="2241"/>
      <c r="D16" s="2241"/>
      <c r="E16" s="1447"/>
      <c r="F16" s="1451"/>
      <c r="G16" s="1450"/>
      <c r="H16" s="1451"/>
      <c r="I16" s="1451"/>
      <c r="J16" s="1443"/>
      <c r="K16" s="1444"/>
      <c r="L16" s="1444"/>
      <c r="M16" s="1444"/>
      <c r="N16" s="1444"/>
      <c r="O16" s="1444"/>
      <c r="P16" s="1525"/>
      <c r="Q16" s="1439"/>
    </row>
    <row r="17" spans="1:17" ht="13.5" customHeight="1" x14ac:dyDescent="0.3">
      <c r="A17" s="2275" t="s">
        <v>1750</v>
      </c>
      <c r="B17" s="2276" t="s">
        <v>2713</v>
      </c>
      <c r="F17" s="1451"/>
      <c r="G17" s="1451"/>
      <c r="H17" s="1451"/>
      <c r="I17" s="1451"/>
      <c r="J17" s="1450"/>
      <c r="K17" s="1444"/>
      <c r="L17" s="1444"/>
      <c r="M17" s="1444"/>
      <c r="N17" s="1444"/>
      <c r="O17" s="1444"/>
      <c r="P17" s="1525"/>
    </row>
    <row r="18" spans="1:17" ht="13.5" customHeight="1" x14ac:dyDescent="0.3">
      <c r="A18" s="2277" t="s">
        <v>1751</v>
      </c>
      <c r="B18" s="2278">
        <v>3200</v>
      </c>
      <c r="F18" s="1451"/>
      <c r="G18" s="1451"/>
      <c r="H18" s="1451"/>
      <c r="I18" s="1451"/>
      <c r="J18" s="1451"/>
      <c r="K18" s="1444"/>
      <c r="L18" s="1444"/>
      <c r="M18" s="1444"/>
      <c r="N18" s="1444"/>
      <c r="O18" s="1444"/>
      <c r="P18" s="1525"/>
    </row>
    <row r="19" spans="1:17" ht="13.5" customHeight="1" x14ac:dyDescent="0.3">
      <c r="A19" s="2279"/>
      <c r="B19" s="2280"/>
      <c r="F19" s="1451"/>
      <c r="G19" s="1451"/>
      <c r="H19" s="1451"/>
      <c r="I19" s="1451"/>
      <c r="J19" s="1451"/>
      <c r="K19" s="1444"/>
      <c r="L19" s="1444"/>
      <c r="M19" s="1444"/>
      <c r="N19" s="1444"/>
      <c r="O19" s="1444"/>
      <c r="P19" s="1525"/>
    </row>
    <row r="20" spans="1:17" ht="13.5" customHeight="1" x14ac:dyDescent="0.3">
      <c r="A20" s="2281" t="s">
        <v>1132</v>
      </c>
      <c r="B20" s="2282"/>
      <c r="F20" s="1451"/>
      <c r="G20" s="1451"/>
      <c r="H20" s="1451"/>
      <c r="I20" s="1451"/>
      <c r="J20" s="1451"/>
      <c r="K20" s="1444"/>
      <c r="L20" s="1444"/>
      <c r="M20" s="1444"/>
      <c r="N20" s="1444"/>
      <c r="O20" s="1444"/>
      <c r="P20" s="1525"/>
    </row>
    <row r="21" spans="1:17" ht="13.5" customHeight="1" x14ac:dyDescent="0.3">
      <c r="A21" s="2275" t="s">
        <v>1134</v>
      </c>
      <c r="B21" s="2276" t="s">
        <v>2714</v>
      </c>
      <c r="F21" s="1451"/>
      <c r="G21" s="1451"/>
      <c r="H21" s="1451"/>
      <c r="I21" s="1451"/>
      <c r="J21" s="1451"/>
      <c r="K21" s="1444"/>
      <c r="L21" s="1444"/>
      <c r="M21" s="1444"/>
      <c r="N21" s="1444"/>
      <c r="O21" s="1444"/>
      <c r="P21" s="1525"/>
    </row>
    <row r="22" spans="1:17" ht="13.5" customHeight="1" x14ac:dyDescent="0.3">
      <c r="A22" s="2275" t="s">
        <v>1136</v>
      </c>
      <c r="B22" s="2276" t="s">
        <v>2715</v>
      </c>
      <c r="F22" s="1451"/>
      <c r="G22" s="1451"/>
      <c r="H22" s="1451"/>
      <c r="I22" s="1451"/>
      <c r="J22" s="1451"/>
      <c r="K22" s="1444"/>
      <c r="L22" s="1444"/>
      <c r="M22" s="1444"/>
      <c r="N22" s="1444"/>
      <c r="O22" s="1444"/>
      <c r="P22" s="1525"/>
    </row>
    <row r="23" spans="1:17" ht="13.5" customHeight="1" x14ac:dyDescent="0.3">
      <c r="A23" s="2275" t="s">
        <v>1750</v>
      </c>
      <c r="B23" s="2276" t="s">
        <v>2713</v>
      </c>
      <c r="F23" s="1451"/>
      <c r="G23" s="1451"/>
      <c r="H23" s="1451"/>
      <c r="I23" s="1451"/>
      <c r="J23" s="1451"/>
      <c r="K23" s="1444"/>
      <c r="L23" s="1444"/>
      <c r="M23" s="1444"/>
      <c r="N23" s="1444"/>
      <c r="O23" s="1444"/>
      <c r="P23" s="1525"/>
    </row>
    <row r="24" spans="1:17" ht="13.5" customHeight="1" x14ac:dyDescent="0.3">
      <c r="A24" s="2277" t="s">
        <v>1751</v>
      </c>
      <c r="B24" s="2278">
        <v>3200</v>
      </c>
      <c r="F24" s="1451"/>
      <c r="G24" s="1451"/>
      <c r="H24" s="1451"/>
      <c r="I24" s="1451"/>
      <c r="J24" s="1451"/>
      <c r="K24" s="1444"/>
      <c r="L24" s="1444"/>
      <c r="M24" s="1444"/>
      <c r="N24" s="1444"/>
      <c r="O24" s="1444"/>
      <c r="P24" s="1525"/>
    </row>
    <row r="25" spans="1:17" ht="13.5" customHeight="1" x14ac:dyDescent="0.3">
      <c r="A25" s="2279"/>
      <c r="B25" s="2280"/>
      <c r="F25" s="1451"/>
      <c r="G25" s="1451"/>
      <c r="H25" s="1451"/>
      <c r="I25" s="1451"/>
      <c r="J25" s="1451"/>
      <c r="K25" s="1444"/>
      <c r="L25" s="1444"/>
      <c r="M25" s="1444"/>
      <c r="N25" s="1444"/>
      <c r="O25" s="1444"/>
      <c r="P25" s="1525"/>
    </row>
    <row r="26" spans="1:17" ht="13.5" customHeight="1" x14ac:dyDescent="0.3">
      <c r="A26" s="2281" t="s">
        <v>1140</v>
      </c>
      <c r="B26" s="2283"/>
      <c r="F26" s="1451"/>
      <c r="G26" s="1451"/>
      <c r="H26" s="1451"/>
      <c r="I26" s="1451"/>
      <c r="J26" s="1451"/>
      <c r="K26" s="1444"/>
      <c r="L26" s="1444"/>
      <c r="M26" s="1444"/>
      <c r="N26" s="1444"/>
      <c r="O26" s="1444"/>
      <c r="P26" s="1525"/>
    </row>
    <row r="27" spans="1:17" ht="13.5" customHeight="1" x14ac:dyDescent="0.3">
      <c r="A27" s="2275" t="s">
        <v>1142</v>
      </c>
      <c r="B27" s="2276" t="s">
        <v>2716</v>
      </c>
      <c r="F27" s="1451"/>
      <c r="G27" s="1451"/>
      <c r="H27" s="1451"/>
      <c r="I27" s="1451"/>
      <c r="J27" s="1451"/>
      <c r="K27" s="1444"/>
      <c r="L27" s="1444"/>
      <c r="M27" s="1444"/>
      <c r="N27" s="1444"/>
      <c r="O27" s="1444"/>
      <c r="P27" s="1525"/>
    </row>
    <row r="28" spans="1:17" ht="13.5" customHeight="1" x14ac:dyDescent="0.3">
      <c r="A28" s="2277" t="s">
        <v>1144</v>
      </c>
      <c r="B28" s="2284" t="s">
        <v>2717</v>
      </c>
      <c r="I28" s="1452"/>
      <c r="J28" s="1451"/>
      <c r="K28" s="1451"/>
      <c r="L28" s="1451"/>
      <c r="M28" s="1451"/>
      <c r="N28" s="1451"/>
      <c r="O28" s="1451"/>
      <c r="P28" s="1525"/>
    </row>
    <row r="29" spans="1:17" ht="13.5" customHeight="1" x14ac:dyDescent="0.3">
      <c r="A29" s="2279"/>
      <c r="B29" s="2285"/>
      <c r="I29" s="1452"/>
      <c r="J29" s="1452"/>
      <c r="K29" s="1452"/>
      <c r="L29" s="1452"/>
      <c r="M29" s="1452"/>
      <c r="N29" s="1452"/>
      <c r="O29" s="1452"/>
      <c r="P29" s="1525"/>
    </row>
    <row r="30" spans="1:17" ht="13.5" customHeight="1" thickBot="1" x14ac:dyDescent="0.3">
      <c r="A30" s="2659" t="s">
        <v>1146</v>
      </c>
      <c r="B30" s="2660"/>
      <c r="C30" s="2652"/>
      <c r="D30" s="2653"/>
      <c r="I30" s="1452"/>
      <c r="J30" s="1452"/>
      <c r="K30" s="1452"/>
      <c r="L30" s="1452"/>
      <c r="M30" s="1452"/>
      <c r="N30" s="1452"/>
      <c r="O30" s="1452"/>
      <c r="P30" s="1525"/>
    </row>
    <row r="31" spans="1:17" ht="13.5" customHeight="1" thickTop="1" x14ac:dyDescent="0.3">
      <c r="A31" s="2281" t="s">
        <v>1147</v>
      </c>
      <c r="B31" s="2282"/>
      <c r="C31" s="2666" t="s">
        <v>1148</v>
      </c>
      <c r="D31" s="2667"/>
      <c r="I31" s="1452"/>
      <c r="J31" s="1452"/>
      <c r="K31" s="1452"/>
      <c r="L31" s="1452"/>
      <c r="M31" s="1452"/>
      <c r="N31" s="1452"/>
      <c r="O31" s="1452"/>
      <c r="P31" s="1525"/>
      <c r="Q31" s="1445"/>
    </row>
    <row r="32" spans="1:17" ht="13.5" customHeight="1" x14ac:dyDescent="0.3">
      <c r="A32" s="2275" t="s">
        <v>1150</v>
      </c>
      <c r="B32" s="2286" t="s">
        <v>2681</v>
      </c>
      <c r="C32" s="2275" t="s">
        <v>1150</v>
      </c>
      <c r="D32" s="2286" t="s">
        <v>2686</v>
      </c>
      <c r="I32" s="1452"/>
      <c r="J32" s="1452"/>
      <c r="K32" s="1452"/>
      <c r="L32" s="1452"/>
      <c r="M32" s="1452"/>
      <c r="N32" s="1452"/>
      <c r="O32" s="1452"/>
      <c r="P32" s="1525"/>
      <c r="Q32" s="1452"/>
    </row>
    <row r="33" spans="1:17" ht="13.5" customHeight="1" x14ac:dyDescent="0.3">
      <c r="A33" s="2275" t="s">
        <v>1142</v>
      </c>
      <c r="B33" s="2286" t="s">
        <v>2682</v>
      </c>
      <c r="C33" s="2275" t="s">
        <v>1142</v>
      </c>
      <c r="D33" s="2286" t="s">
        <v>2687</v>
      </c>
      <c r="F33" s="1442"/>
      <c r="G33" s="1444"/>
      <c r="I33" s="1452"/>
      <c r="J33" s="1452"/>
      <c r="K33" s="1452"/>
      <c r="L33" s="1452"/>
      <c r="M33" s="1452"/>
      <c r="N33" s="1452"/>
      <c r="O33" s="1452"/>
      <c r="P33" s="1525"/>
      <c r="Q33" s="1452"/>
    </row>
    <row r="34" spans="1:17" ht="13.5" customHeight="1" x14ac:dyDescent="0.3">
      <c r="A34" s="2275" t="s">
        <v>1154</v>
      </c>
      <c r="B34" s="2286" t="s">
        <v>2683</v>
      </c>
      <c r="C34" s="2275" t="s">
        <v>1154</v>
      </c>
      <c r="D34" s="2286"/>
      <c r="F34" s="1442"/>
      <c r="G34" s="1444"/>
      <c r="I34" s="1452"/>
      <c r="J34" s="1452"/>
      <c r="K34" s="1452"/>
      <c r="L34" s="1452"/>
      <c r="M34" s="1452"/>
      <c r="N34" s="1452"/>
      <c r="O34" s="1452"/>
      <c r="P34" s="1525"/>
    </row>
    <row r="35" spans="1:17" ht="13.5" customHeight="1" x14ac:dyDescent="0.3">
      <c r="A35" s="2275" t="s">
        <v>1144</v>
      </c>
      <c r="B35" s="2286" t="s">
        <v>2684</v>
      </c>
      <c r="C35" s="2275" t="s">
        <v>1144</v>
      </c>
      <c r="D35" s="2286" t="s">
        <v>2684</v>
      </c>
      <c r="F35" s="1443"/>
      <c r="G35" s="1444"/>
      <c r="I35" s="1452"/>
      <c r="J35" s="1452"/>
      <c r="K35" s="1452"/>
      <c r="L35" s="1452"/>
      <c r="M35" s="1452"/>
      <c r="N35" s="1452"/>
      <c r="O35" s="1452"/>
      <c r="P35" s="1525"/>
    </row>
    <row r="36" spans="1:17" ht="13.5" customHeight="1" x14ac:dyDescent="0.3">
      <c r="A36" s="2275" t="s">
        <v>1157</v>
      </c>
      <c r="B36" s="2638" t="s">
        <v>2685</v>
      </c>
      <c r="C36" s="2275" t="s">
        <v>1157</v>
      </c>
      <c r="D36" s="2638" t="s">
        <v>2688</v>
      </c>
      <c r="F36" s="1443"/>
      <c r="G36" s="1444"/>
      <c r="I36" s="1452"/>
      <c r="J36" s="1452"/>
      <c r="K36" s="1452"/>
      <c r="L36" s="1452"/>
      <c r="M36" s="1452"/>
      <c r="N36" s="1452"/>
      <c r="O36" s="1452"/>
      <c r="P36" s="1525"/>
    </row>
    <row r="37" spans="1:17" ht="13.5" customHeight="1" x14ac:dyDescent="0.3">
      <c r="A37" s="2275"/>
      <c r="B37" s="2286"/>
      <c r="C37" s="2275"/>
      <c r="D37" s="2286"/>
      <c r="F37" s="1443"/>
      <c r="G37" s="1444"/>
      <c r="I37" s="1452"/>
      <c r="J37" s="1452"/>
      <c r="K37" s="1452"/>
      <c r="L37" s="1452"/>
      <c r="M37" s="1452"/>
      <c r="N37" s="1452"/>
      <c r="O37" s="1452"/>
      <c r="P37" s="1525"/>
    </row>
    <row r="38" spans="1:17" ht="13.5" customHeight="1" x14ac:dyDescent="0.3">
      <c r="A38" s="2654" t="s">
        <v>1159</v>
      </c>
      <c r="B38" s="2655"/>
      <c r="C38" s="2654" t="s">
        <v>1160</v>
      </c>
      <c r="D38" s="2655"/>
      <c r="F38" s="1443"/>
      <c r="G38" s="1444"/>
      <c r="I38" s="1452"/>
      <c r="J38" s="1452"/>
      <c r="K38" s="1452"/>
      <c r="L38" s="1452"/>
      <c r="M38" s="1452"/>
      <c r="N38" s="1452"/>
      <c r="O38" s="1452"/>
      <c r="P38" s="1525"/>
    </row>
    <row r="39" spans="1:17" ht="13.5" customHeight="1" x14ac:dyDescent="0.3">
      <c r="A39" s="2275" t="s">
        <v>1150</v>
      </c>
      <c r="B39" s="2276" t="s">
        <v>2689</v>
      </c>
      <c r="C39" s="2275" t="s">
        <v>1150</v>
      </c>
      <c r="D39" s="2276" t="s">
        <v>2693</v>
      </c>
      <c r="F39" s="1443"/>
      <c r="G39" s="1444"/>
      <c r="I39" s="1452"/>
      <c r="J39" s="1452"/>
      <c r="K39" s="1452"/>
      <c r="L39" s="1452"/>
      <c r="M39" s="1452"/>
      <c r="N39" s="1452"/>
      <c r="O39" s="1452"/>
      <c r="P39" s="1525"/>
    </row>
    <row r="40" spans="1:17" ht="13.5" customHeight="1" x14ac:dyDescent="0.3">
      <c r="A40" s="2275" t="s">
        <v>1142</v>
      </c>
      <c r="B40" s="2276" t="s">
        <v>2690</v>
      </c>
      <c r="C40" s="2275" t="s">
        <v>1142</v>
      </c>
      <c r="D40" s="2276" t="s">
        <v>2694</v>
      </c>
      <c r="F40" s="1450"/>
      <c r="G40" s="1444"/>
      <c r="I40" s="1452"/>
      <c r="J40" s="1452"/>
      <c r="K40" s="1452"/>
      <c r="L40" s="1452"/>
      <c r="M40" s="1452"/>
      <c r="N40" s="1452"/>
      <c r="O40" s="1452"/>
      <c r="P40" s="1525"/>
    </row>
    <row r="41" spans="1:17" ht="13.5" customHeight="1" x14ac:dyDescent="0.3">
      <c r="A41" s="2275" t="s">
        <v>1154</v>
      </c>
      <c r="B41" s="2276" t="s">
        <v>2704</v>
      </c>
      <c r="C41" s="2275" t="s">
        <v>1154</v>
      </c>
      <c r="D41" s="2276" t="s">
        <v>2695</v>
      </c>
      <c r="F41" s="1451"/>
      <c r="G41" s="1444"/>
      <c r="I41" s="1452"/>
      <c r="J41" s="1452"/>
      <c r="K41" s="1452"/>
      <c r="L41" s="1452"/>
      <c r="M41" s="1452"/>
      <c r="N41" s="1452"/>
      <c r="O41" s="1452"/>
      <c r="P41" s="1525"/>
    </row>
    <row r="42" spans="1:17" ht="13.5" customHeight="1" x14ac:dyDescent="0.3">
      <c r="A42" s="2275" t="s">
        <v>1144</v>
      </c>
      <c r="B42" s="2276" t="s">
        <v>2691</v>
      </c>
      <c r="C42" s="2275" t="s">
        <v>1144</v>
      </c>
      <c r="D42" s="2276" t="s">
        <v>2691</v>
      </c>
      <c r="F42" s="1451"/>
      <c r="G42" s="1444"/>
      <c r="I42" s="1452"/>
      <c r="J42" s="1452"/>
      <c r="K42" s="1452"/>
      <c r="L42" s="1452"/>
      <c r="M42" s="1452"/>
      <c r="N42" s="1452"/>
      <c r="O42" s="1452"/>
      <c r="P42" s="1525"/>
    </row>
    <row r="43" spans="1:17" ht="13.5" customHeight="1" x14ac:dyDescent="0.3">
      <c r="A43" s="2287" t="s">
        <v>1157</v>
      </c>
      <c r="B43" s="2639" t="s">
        <v>2692</v>
      </c>
      <c r="C43" s="2287" t="s">
        <v>1157</v>
      </c>
      <c r="D43" s="2639" t="s">
        <v>2692</v>
      </c>
      <c r="F43" s="1451"/>
      <c r="G43" s="1444"/>
      <c r="I43" s="1452"/>
      <c r="J43" s="1452"/>
      <c r="K43" s="1452"/>
      <c r="L43" s="1452"/>
      <c r="M43" s="1452"/>
      <c r="N43" s="1452"/>
      <c r="O43" s="1452"/>
      <c r="P43" s="1525"/>
    </row>
    <row r="44" spans="1:17" ht="13.5" customHeight="1" x14ac:dyDescent="0.3">
      <c r="A44" s="2279"/>
      <c r="B44" s="2285"/>
      <c r="C44" s="2279"/>
      <c r="D44" s="2285"/>
      <c r="F44" s="1451"/>
      <c r="G44" s="1444"/>
      <c r="I44" s="1452"/>
      <c r="J44" s="1452"/>
      <c r="K44" s="1452"/>
      <c r="L44" s="1452"/>
      <c r="M44" s="1452"/>
      <c r="N44" s="1452"/>
      <c r="O44" s="1452"/>
      <c r="P44" s="1525"/>
    </row>
    <row r="45" spans="1:17" ht="13.5" customHeight="1" x14ac:dyDescent="0.3">
      <c r="A45" s="2654" t="s">
        <v>1167</v>
      </c>
      <c r="B45" s="2655"/>
      <c r="C45" s="2654" t="s">
        <v>1168</v>
      </c>
      <c r="D45" s="2655"/>
      <c r="F45" s="1451"/>
      <c r="G45" s="1444"/>
      <c r="I45" s="1452"/>
      <c r="J45" s="1452"/>
      <c r="K45" s="1452"/>
      <c r="L45" s="1452"/>
      <c r="M45" s="1452"/>
      <c r="N45" s="1452"/>
      <c r="O45" s="1452"/>
      <c r="P45" s="1525"/>
    </row>
    <row r="46" spans="1:17" ht="13.5" customHeight="1" x14ac:dyDescent="0.3">
      <c r="A46" s="2275" t="s">
        <v>1150</v>
      </c>
      <c r="B46" s="2276" t="s">
        <v>2696</v>
      </c>
      <c r="C46" s="2275" t="s">
        <v>1150</v>
      </c>
      <c r="D46" s="2276" t="s">
        <v>2699</v>
      </c>
      <c r="F46" s="1451"/>
      <c r="G46" s="1444"/>
      <c r="I46" s="1452"/>
      <c r="J46" s="1452"/>
      <c r="K46" s="1452"/>
      <c r="L46" s="1452"/>
      <c r="M46" s="1452"/>
      <c r="N46" s="1452"/>
      <c r="O46" s="1452"/>
      <c r="P46" s="1525"/>
    </row>
    <row r="47" spans="1:17" s="1439" customFormat="1" ht="13.5" customHeight="1" x14ac:dyDescent="0.3">
      <c r="A47" s="2275" t="s">
        <v>1142</v>
      </c>
      <c r="B47" s="2276" t="s">
        <v>2697</v>
      </c>
      <c r="C47" s="2275" t="s">
        <v>1142</v>
      </c>
      <c r="D47" s="2276" t="s">
        <v>2697</v>
      </c>
      <c r="E47" s="1438"/>
      <c r="F47" s="1451"/>
      <c r="G47" s="1444"/>
      <c r="I47" s="1452"/>
      <c r="J47" s="1452"/>
      <c r="K47" s="1452"/>
      <c r="L47" s="1452"/>
      <c r="M47" s="1452"/>
      <c r="N47" s="1452"/>
      <c r="O47" s="1452"/>
      <c r="P47" s="1525"/>
    </row>
    <row r="48" spans="1:17" s="1439" customFormat="1" ht="13.5" customHeight="1" x14ac:dyDescent="0.3">
      <c r="A48" s="2275" t="s">
        <v>1154</v>
      </c>
      <c r="B48" s="2276" t="s">
        <v>2705</v>
      </c>
      <c r="C48" s="2275" t="s">
        <v>1154</v>
      </c>
      <c r="D48" s="2276" t="s">
        <v>2698</v>
      </c>
      <c r="E48" s="1438"/>
      <c r="F48" s="1451"/>
      <c r="G48" s="1444"/>
      <c r="I48" s="1452"/>
      <c r="J48" s="1452"/>
      <c r="K48" s="1452"/>
      <c r="L48" s="1452"/>
      <c r="M48" s="1452"/>
      <c r="N48" s="1452"/>
      <c r="O48" s="1452"/>
      <c r="P48" s="1525"/>
    </row>
    <row r="49" spans="1:17" s="1439" customFormat="1" ht="13.5" customHeight="1" x14ac:dyDescent="0.3">
      <c r="A49" s="2275" t="s">
        <v>1144</v>
      </c>
      <c r="B49" s="2276" t="s">
        <v>2691</v>
      </c>
      <c r="C49" s="2275" t="s">
        <v>1144</v>
      </c>
      <c r="D49" s="2276" t="s">
        <v>2691</v>
      </c>
      <c r="E49" s="1438"/>
      <c r="F49" s="1451"/>
      <c r="G49" s="1444"/>
      <c r="I49" s="1452"/>
      <c r="J49" s="1452"/>
      <c r="K49" s="1452"/>
      <c r="L49" s="1452"/>
      <c r="M49" s="1452"/>
      <c r="N49" s="1452"/>
      <c r="O49" s="1452"/>
      <c r="P49" s="1525"/>
    </row>
    <row r="50" spans="1:17" s="1439" customFormat="1" ht="13.5" customHeight="1" x14ac:dyDescent="0.3">
      <c r="A50" s="2277" t="s">
        <v>1157</v>
      </c>
      <c r="B50" s="2640" t="s">
        <v>2700</v>
      </c>
      <c r="C50" s="2277" t="s">
        <v>1157</v>
      </c>
      <c r="D50" s="2640" t="s">
        <v>2700</v>
      </c>
      <c r="E50" s="1438"/>
      <c r="F50" s="1451"/>
      <c r="G50" s="1444"/>
      <c r="I50" s="1452"/>
      <c r="J50" s="1452"/>
      <c r="K50" s="1452"/>
      <c r="L50" s="1452"/>
      <c r="M50" s="1452"/>
      <c r="N50" s="1452"/>
      <c r="O50" s="1452"/>
      <c r="P50" s="1525"/>
    </row>
    <row r="51" spans="1:17" s="1439" customFormat="1" ht="13.5" customHeight="1" x14ac:dyDescent="0.3">
      <c r="A51" s="2279"/>
      <c r="B51" s="2285"/>
      <c r="C51" s="2279"/>
      <c r="D51" s="2285"/>
      <c r="E51" s="1438"/>
      <c r="F51" s="1451"/>
      <c r="G51" s="1444"/>
      <c r="I51" s="1452"/>
      <c r="J51" s="1452"/>
      <c r="K51" s="1452"/>
      <c r="L51" s="1452"/>
      <c r="M51" s="1452"/>
      <c r="N51" s="1452"/>
      <c r="O51" s="1452"/>
      <c r="P51" s="1525"/>
    </row>
    <row r="52" spans="1:17" s="1439" customFormat="1" ht="13.5" customHeight="1" thickBot="1" x14ac:dyDescent="0.35">
      <c r="A52" s="2670" t="s">
        <v>1170</v>
      </c>
      <c r="B52" s="2671"/>
      <c r="C52" s="2664"/>
      <c r="D52" s="2665"/>
      <c r="E52" s="1438"/>
      <c r="F52" s="1451"/>
      <c r="G52" s="1444"/>
      <c r="I52" s="1452"/>
      <c r="J52" s="1452"/>
      <c r="K52" s="1452"/>
      <c r="L52" s="1452"/>
      <c r="M52" s="1452"/>
      <c r="N52" s="1452"/>
      <c r="O52" s="1452"/>
      <c r="P52" s="1525"/>
    </row>
    <row r="53" spans="1:17" s="1455" customFormat="1" ht="13.5" customHeight="1" thickTop="1" x14ac:dyDescent="0.3">
      <c r="A53" s="2281" t="s">
        <v>1171</v>
      </c>
      <c r="B53" s="2282"/>
      <c r="C53" s="2654" t="s">
        <v>1172</v>
      </c>
      <c r="D53" s="2655"/>
      <c r="E53" s="1441"/>
      <c r="F53" s="1453"/>
      <c r="G53" s="1454"/>
      <c r="I53" s="1456"/>
      <c r="J53" s="1456"/>
      <c r="K53" s="1456"/>
      <c r="L53" s="1456"/>
      <c r="M53" s="1456"/>
      <c r="N53" s="1456"/>
      <c r="O53" s="1456"/>
      <c r="P53" s="1525"/>
      <c r="Q53" s="1439"/>
    </row>
    <row r="54" spans="1:17" s="1455" customFormat="1" ht="13.5" customHeight="1" x14ac:dyDescent="0.3">
      <c r="A54" s="2275" t="s">
        <v>1150</v>
      </c>
      <c r="B54" s="2276" t="s">
        <v>2676</v>
      </c>
      <c r="C54" s="2275" t="s">
        <v>1150</v>
      </c>
      <c r="D54" s="2276" t="s">
        <v>2674</v>
      </c>
      <c r="E54" s="1441"/>
      <c r="F54" s="1453"/>
      <c r="G54" s="1454"/>
      <c r="I54" s="1456"/>
      <c r="J54" s="1456"/>
      <c r="K54" s="1456"/>
      <c r="L54" s="1456"/>
      <c r="M54" s="1456"/>
      <c r="N54" s="1456"/>
      <c r="O54" s="1456"/>
      <c r="P54" s="1525"/>
      <c r="Q54" s="1439"/>
    </row>
    <row r="55" spans="1:17" s="1439" customFormat="1" ht="13.5" customHeight="1" x14ac:dyDescent="0.3">
      <c r="A55" s="2275" t="s">
        <v>1142</v>
      </c>
      <c r="B55" s="2276" t="s">
        <v>2675</v>
      </c>
      <c r="C55" s="2275" t="s">
        <v>1142</v>
      </c>
      <c r="D55" s="2276" t="s">
        <v>2675</v>
      </c>
      <c r="E55" s="1438"/>
      <c r="F55" s="1451"/>
      <c r="G55" s="1444"/>
      <c r="I55" s="1452"/>
      <c r="J55" s="1452"/>
      <c r="K55" s="1452"/>
      <c r="L55" s="1452"/>
      <c r="M55" s="1452"/>
      <c r="N55" s="1452"/>
      <c r="O55" s="1452"/>
      <c r="P55" s="1525"/>
    </row>
    <row r="56" spans="1:17" s="1439" customFormat="1" ht="13.5" customHeight="1" x14ac:dyDescent="0.3">
      <c r="A56" s="2275" t="s">
        <v>1154</v>
      </c>
      <c r="B56" s="2276" t="s">
        <v>2677</v>
      </c>
      <c r="C56" s="2275" t="s">
        <v>1154</v>
      </c>
      <c r="D56" s="2276"/>
      <c r="E56" s="1438"/>
      <c r="F56" s="1451"/>
      <c r="G56" s="1444"/>
      <c r="I56" s="1452"/>
      <c r="J56" s="1452"/>
      <c r="K56" s="1452"/>
      <c r="L56" s="1452"/>
      <c r="M56" s="1452"/>
      <c r="N56" s="1452"/>
      <c r="O56" s="1452"/>
      <c r="P56" s="1525"/>
    </row>
    <row r="57" spans="1:17" s="1439" customFormat="1" ht="13.5" customHeight="1" x14ac:dyDescent="0.3">
      <c r="A57" s="2275" t="s">
        <v>1144</v>
      </c>
      <c r="B57" s="2276" t="s">
        <v>2710</v>
      </c>
      <c r="C57" s="2275" t="s">
        <v>1144</v>
      </c>
      <c r="D57" s="2276" t="s">
        <v>2710</v>
      </c>
      <c r="E57" s="1438"/>
      <c r="F57" s="1451"/>
      <c r="G57" s="1444"/>
      <c r="I57" s="1452"/>
      <c r="J57" s="1452"/>
      <c r="K57" s="1452"/>
      <c r="L57" s="1452"/>
      <c r="M57" s="1452"/>
      <c r="N57" s="1452"/>
      <c r="O57" s="1452"/>
      <c r="P57" s="1525"/>
    </row>
    <row r="58" spans="1:17" ht="13.5" customHeight="1" x14ac:dyDescent="0.3">
      <c r="A58" s="2277" t="s">
        <v>1157</v>
      </c>
      <c r="B58" s="2640" t="s">
        <v>2711</v>
      </c>
      <c r="C58" s="2277" t="s">
        <v>1157</v>
      </c>
      <c r="D58" s="2640" t="s">
        <v>2712</v>
      </c>
      <c r="F58" s="1451"/>
      <c r="G58" s="1444"/>
      <c r="I58" s="1452"/>
      <c r="J58" s="1452"/>
      <c r="K58" s="1452"/>
      <c r="L58" s="1452"/>
      <c r="M58" s="1452"/>
      <c r="N58" s="1452"/>
      <c r="O58" s="1452"/>
      <c r="P58" s="1525"/>
    </row>
    <row r="59" spans="1:17" ht="13.5" customHeight="1" x14ac:dyDescent="0.3">
      <c r="A59" s="2279"/>
      <c r="B59" s="2285"/>
      <c r="C59" s="2279"/>
      <c r="D59" s="2285"/>
      <c r="F59" s="1451"/>
      <c r="G59" s="1444"/>
      <c r="I59" s="1452"/>
      <c r="J59" s="1452"/>
      <c r="K59" s="1452"/>
      <c r="L59" s="1452"/>
      <c r="M59" s="1452"/>
      <c r="N59" s="1452"/>
      <c r="O59" s="1452"/>
      <c r="P59" s="1525"/>
    </row>
    <row r="60" spans="1:17" ht="13.5" customHeight="1" x14ac:dyDescent="0.3">
      <c r="A60" s="2288" t="s">
        <v>1173</v>
      </c>
      <c r="B60" s="2283"/>
      <c r="C60" s="2654" t="s">
        <v>1174</v>
      </c>
      <c r="D60" s="2655"/>
      <c r="F60" s="1451"/>
      <c r="G60" s="1444"/>
      <c r="I60" s="1452"/>
      <c r="J60" s="1452"/>
      <c r="K60" s="1452"/>
      <c r="L60" s="1452"/>
      <c r="M60" s="1452"/>
      <c r="N60" s="1452"/>
      <c r="O60" s="1452"/>
      <c r="P60" s="1525"/>
    </row>
    <row r="61" spans="1:17" s="1457" customFormat="1" ht="13.5" customHeight="1" x14ac:dyDescent="0.3">
      <c r="A61" s="2275" t="s">
        <v>1150</v>
      </c>
      <c r="B61" s="2276" t="s">
        <v>2459</v>
      </c>
      <c r="C61" s="2275" t="s">
        <v>1150</v>
      </c>
      <c r="D61" s="2276" t="s">
        <v>2679</v>
      </c>
      <c r="E61" s="1441"/>
      <c r="F61" s="1453"/>
      <c r="G61" s="1454"/>
      <c r="H61" s="1455"/>
      <c r="I61" s="1456"/>
      <c r="J61" s="1456"/>
      <c r="K61" s="1456"/>
      <c r="L61" s="1456"/>
      <c r="M61" s="1456"/>
      <c r="N61" s="1456"/>
      <c r="O61" s="1456"/>
      <c r="P61" s="1525"/>
      <c r="Q61" s="1439"/>
    </row>
    <row r="62" spans="1:17" ht="13.5" customHeight="1" x14ac:dyDescent="0.3">
      <c r="A62" s="2275" t="s">
        <v>1142</v>
      </c>
      <c r="B62" s="2276" t="s">
        <v>2680</v>
      </c>
      <c r="C62" s="2275" t="s">
        <v>1142</v>
      </c>
      <c r="D62" s="2276" t="s">
        <v>2680</v>
      </c>
      <c r="F62" s="1451"/>
      <c r="G62" s="1444"/>
      <c r="I62" s="1452"/>
      <c r="J62" s="1452"/>
      <c r="K62" s="1452"/>
      <c r="L62" s="1452"/>
      <c r="M62" s="1452"/>
      <c r="N62" s="1452"/>
      <c r="O62" s="1452"/>
      <c r="P62" s="1525"/>
    </row>
    <row r="63" spans="1:17" ht="13.5" customHeight="1" x14ac:dyDescent="0.3">
      <c r="A63" s="2275" t="s">
        <v>1154</v>
      </c>
      <c r="B63" s="2276" t="s">
        <v>2718</v>
      </c>
      <c r="C63" s="2275" t="s">
        <v>1154</v>
      </c>
      <c r="D63" s="2276" t="s">
        <v>2678</v>
      </c>
      <c r="F63" s="1451"/>
      <c r="G63" s="1444"/>
      <c r="I63" s="1452"/>
      <c r="J63" s="1452"/>
      <c r="K63" s="1452"/>
      <c r="L63" s="1452"/>
      <c r="M63" s="1452"/>
      <c r="N63" s="1452"/>
      <c r="O63" s="1452"/>
      <c r="P63" s="1525"/>
    </row>
    <row r="64" spans="1:17" ht="13.5" customHeight="1" x14ac:dyDescent="0.3">
      <c r="A64" s="2275" t="s">
        <v>1144</v>
      </c>
      <c r="B64" s="2276" t="s">
        <v>2702</v>
      </c>
      <c r="C64" s="2275" t="s">
        <v>1144</v>
      </c>
      <c r="D64" s="2276" t="s">
        <v>2702</v>
      </c>
      <c r="F64" s="1451"/>
      <c r="G64" s="1444"/>
      <c r="I64" s="1452"/>
      <c r="J64" s="1452"/>
      <c r="K64" s="1452"/>
      <c r="L64" s="1452"/>
      <c r="M64" s="1452"/>
      <c r="N64" s="1452"/>
      <c r="O64" s="1452"/>
      <c r="P64" s="1525"/>
    </row>
    <row r="65" spans="1:17" ht="13.5" customHeight="1" x14ac:dyDescent="0.3">
      <c r="A65" s="2277" t="s">
        <v>1157</v>
      </c>
      <c r="B65" s="2640" t="s">
        <v>2719</v>
      </c>
      <c r="C65" s="2277" t="s">
        <v>1157</v>
      </c>
      <c r="D65" s="2640" t="s">
        <v>2703</v>
      </c>
      <c r="F65" s="1451"/>
      <c r="G65" s="1444"/>
      <c r="I65" s="1452"/>
      <c r="J65" s="1452"/>
      <c r="K65" s="1452"/>
      <c r="L65" s="1452"/>
      <c r="M65" s="1452"/>
      <c r="N65" s="1452"/>
      <c r="O65" s="1452"/>
      <c r="P65" s="1525"/>
    </row>
    <row r="66" spans="1:17" ht="13.5" customHeight="1" x14ac:dyDescent="0.3">
      <c r="A66" s="2279"/>
      <c r="B66" s="2285"/>
      <c r="C66" s="2279"/>
      <c r="D66" s="2285"/>
      <c r="F66" s="1451"/>
      <c r="G66" s="1444"/>
      <c r="I66" s="1452"/>
      <c r="J66" s="1452"/>
      <c r="K66" s="1452"/>
      <c r="L66" s="1452"/>
      <c r="M66" s="1452"/>
      <c r="N66" s="1452"/>
      <c r="O66" s="1452"/>
      <c r="P66" s="1525"/>
    </row>
    <row r="67" spans="1:17" ht="13.5" customHeight="1" x14ac:dyDescent="0.3">
      <c r="A67" s="2654" t="s">
        <v>1175</v>
      </c>
      <c r="B67" s="2655"/>
      <c r="C67" s="2672"/>
      <c r="D67" s="2673"/>
      <c r="F67" s="1451"/>
      <c r="G67" s="1444"/>
      <c r="I67" s="1452"/>
      <c r="J67" s="1452"/>
      <c r="K67" s="1452"/>
      <c r="L67" s="1452"/>
      <c r="M67" s="1452"/>
      <c r="N67" s="1452"/>
      <c r="O67" s="1452"/>
      <c r="P67" s="1525"/>
    </row>
    <row r="68" spans="1:17" s="1457" customFormat="1" ht="13.5" customHeight="1" x14ac:dyDescent="0.3">
      <c r="A68" s="2275" t="s">
        <v>1150</v>
      </c>
      <c r="B68" s="2276" t="s">
        <v>2669</v>
      </c>
      <c r="C68" s="2289"/>
      <c r="D68" s="2290"/>
      <c r="E68" s="1441"/>
      <c r="F68" s="1453"/>
      <c r="G68" s="1454"/>
      <c r="H68" s="1455"/>
      <c r="I68" s="1456"/>
      <c r="J68" s="1456"/>
      <c r="K68" s="1456"/>
      <c r="L68" s="1456"/>
      <c r="M68" s="1456"/>
      <c r="N68" s="1456"/>
      <c r="O68" s="1456"/>
      <c r="P68" s="1525"/>
      <c r="Q68" s="1439"/>
    </row>
    <row r="69" spans="1:17" ht="13.5" customHeight="1" x14ac:dyDescent="0.3">
      <c r="A69" s="2275" t="s">
        <v>1142</v>
      </c>
      <c r="B69" s="2276" t="s">
        <v>2670</v>
      </c>
      <c r="C69" s="2289"/>
      <c r="D69" s="2290"/>
      <c r="F69" s="1451"/>
      <c r="G69" s="1444"/>
      <c r="I69" s="1452"/>
      <c r="J69" s="1452"/>
      <c r="K69" s="1452"/>
      <c r="L69" s="1452"/>
      <c r="M69" s="1452"/>
      <c r="N69" s="1452"/>
      <c r="O69" s="1452"/>
      <c r="P69" s="1525"/>
    </row>
    <row r="70" spans="1:17" ht="13.5" customHeight="1" x14ac:dyDescent="0.3">
      <c r="A70" s="2275" t="s">
        <v>1154</v>
      </c>
      <c r="B70" s="2276" t="s">
        <v>2671</v>
      </c>
      <c r="C70" s="2289"/>
      <c r="D70" s="2290"/>
      <c r="F70" s="1451"/>
      <c r="G70" s="1444"/>
      <c r="I70" s="1452"/>
      <c r="J70" s="1452"/>
      <c r="K70" s="1452"/>
      <c r="L70" s="1452"/>
      <c r="M70" s="1452"/>
      <c r="N70" s="1452"/>
      <c r="O70" s="1452"/>
      <c r="P70" s="1525"/>
    </row>
    <row r="71" spans="1:17" ht="13.5" customHeight="1" x14ac:dyDescent="0.3">
      <c r="A71" s="2275" t="s">
        <v>1144</v>
      </c>
      <c r="B71" s="2276" t="s">
        <v>2672</v>
      </c>
      <c r="C71" s="2289"/>
      <c r="D71" s="2290"/>
      <c r="F71" s="1451"/>
      <c r="G71" s="1444"/>
      <c r="I71" s="1452"/>
      <c r="J71" s="1452"/>
      <c r="K71" s="1452"/>
      <c r="L71" s="1452"/>
      <c r="M71" s="1452"/>
      <c r="N71" s="1452"/>
      <c r="O71" s="1452"/>
      <c r="P71" s="1525"/>
    </row>
    <row r="72" spans="1:17" ht="13.5" customHeight="1" x14ac:dyDescent="0.3">
      <c r="A72" s="2275" t="s">
        <v>1157</v>
      </c>
      <c r="B72" s="2637" t="s">
        <v>2673</v>
      </c>
      <c r="C72" s="2289"/>
      <c r="D72" s="2290"/>
      <c r="F72" s="1451"/>
      <c r="G72" s="1444"/>
      <c r="I72" s="1452"/>
      <c r="J72" s="1452"/>
      <c r="K72" s="1452"/>
      <c r="L72" s="1452"/>
      <c r="M72" s="1452"/>
      <c r="N72" s="1452"/>
      <c r="O72" s="1452"/>
      <c r="P72" s="1525"/>
    </row>
    <row r="73" spans="1:17" ht="13.5" customHeight="1" x14ac:dyDescent="0.3">
      <c r="A73" s="2654" t="s">
        <v>1175</v>
      </c>
      <c r="B73" s="2655"/>
      <c r="C73" s="2668"/>
      <c r="D73" s="2669"/>
      <c r="F73" s="1451"/>
      <c r="G73" s="1444"/>
      <c r="I73" s="1452"/>
      <c r="J73" s="1452"/>
      <c r="K73" s="1452"/>
      <c r="L73" s="1452"/>
      <c r="M73" s="1452"/>
      <c r="N73" s="1452"/>
      <c r="O73" s="1452"/>
      <c r="P73" s="1525"/>
    </row>
    <row r="74" spans="1:17" ht="13.5" customHeight="1" x14ac:dyDescent="0.3">
      <c r="A74" s="2275" t="s">
        <v>1150</v>
      </c>
      <c r="B74" s="2276" t="s">
        <v>2706</v>
      </c>
      <c r="C74" s="2289"/>
      <c r="D74" s="2290"/>
      <c r="F74" s="1451"/>
      <c r="G74" s="1444"/>
      <c r="I74" s="1452"/>
      <c r="J74" s="1452"/>
      <c r="K74" s="1452"/>
      <c r="L74" s="1452"/>
      <c r="M74" s="1452"/>
      <c r="N74" s="1452"/>
      <c r="O74" s="1452"/>
      <c r="P74" s="1525"/>
    </row>
    <row r="75" spans="1:17" ht="13.5" customHeight="1" x14ac:dyDescent="0.3">
      <c r="A75" s="2275" t="s">
        <v>1142</v>
      </c>
      <c r="B75" s="2276" t="s">
        <v>2707</v>
      </c>
      <c r="C75" s="2289"/>
      <c r="D75" s="2290"/>
      <c r="F75" s="1451"/>
      <c r="G75" s="1444"/>
      <c r="I75" s="1452"/>
      <c r="J75" s="1452"/>
      <c r="K75" s="1452"/>
      <c r="L75" s="1452"/>
      <c r="M75" s="1452"/>
      <c r="N75" s="1452"/>
      <c r="O75" s="1452"/>
      <c r="P75" s="1525"/>
    </row>
    <row r="76" spans="1:17" s="1439" customFormat="1" ht="13.5" customHeight="1" x14ac:dyDescent="0.3">
      <c r="A76" s="2275" t="s">
        <v>1154</v>
      </c>
      <c r="B76" s="2276" t="s">
        <v>2708</v>
      </c>
      <c r="C76" s="2289"/>
      <c r="D76" s="2290"/>
      <c r="E76" s="1438"/>
      <c r="F76" s="1451"/>
      <c r="G76" s="1444"/>
      <c r="I76" s="1452"/>
      <c r="J76" s="1452"/>
      <c r="K76" s="1452"/>
      <c r="L76" s="1452"/>
      <c r="M76" s="1452"/>
      <c r="N76" s="1452"/>
      <c r="O76" s="1452"/>
      <c r="P76" s="1525"/>
    </row>
    <row r="77" spans="1:17" s="1439" customFormat="1" ht="13.5" customHeight="1" x14ac:dyDescent="0.3">
      <c r="A77" s="2275" t="s">
        <v>1144</v>
      </c>
      <c r="B77" s="2276" t="s">
        <v>2702</v>
      </c>
      <c r="C77" s="2289"/>
      <c r="D77" s="2290"/>
      <c r="E77" s="1438"/>
      <c r="F77" s="1451"/>
      <c r="G77" s="1444"/>
      <c r="I77" s="1452"/>
      <c r="J77" s="1452"/>
      <c r="K77" s="1452"/>
      <c r="L77" s="1452"/>
      <c r="M77" s="1452"/>
      <c r="N77" s="1452"/>
      <c r="O77" s="1452"/>
      <c r="P77" s="1525"/>
    </row>
    <row r="78" spans="1:17" s="1439" customFormat="1" ht="13.5" customHeight="1" x14ac:dyDescent="0.3">
      <c r="A78" s="2275" t="s">
        <v>1157</v>
      </c>
      <c r="B78" s="2637" t="s">
        <v>2709</v>
      </c>
      <c r="C78" s="2289"/>
      <c r="D78" s="2290"/>
      <c r="E78" s="1438"/>
      <c r="F78" s="1451"/>
      <c r="G78" s="1444"/>
      <c r="I78" s="1452"/>
      <c r="J78" s="1452"/>
      <c r="K78" s="1452"/>
      <c r="L78" s="1452"/>
      <c r="M78" s="1452"/>
      <c r="N78" s="1452"/>
      <c r="O78" s="1452"/>
      <c r="P78" s="1525"/>
    </row>
    <row r="79" spans="1:17" s="1439" customFormat="1" ht="13.5" customHeight="1" x14ac:dyDescent="0.3">
      <c r="A79" s="2654" t="s">
        <v>1175</v>
      </c>
      <c r="B79" s="2655"/>
      <c r="C79" s="2668"/>
      <c r="D79" s="2669"/>
      <c r="E79" s="1438"/>
      <c r="F79" s="1451"/>
      <c r="G79" s="1444"/>
      <c r="I79" s="1452"/>
      <c r="J79" s="1452"/>
      <c r="K79" s="1452"/>
      <c r="L79" s="1452"/>
      <c r="M79" s="1452"/>
      <c r="N79" s="1452"/>
      <c r="O79" s="1452"/>
      <c r="P79" s="1525"/>
    </row>
    <row r="80" spans="1:17" s="1439" customFormat="1" ht="13.5" customHeight="1" x14ac:dyDescent="0.3">
      <c r="A80" s="2275" t="s">
        <v>1150</v>
      </c>
      <c r="B80" s="2276"/>
      <c r="C80" s="2289"/>
      <c r="D80" s="2290"/>
      <c r="E80" s="1438"/>
      <c r="F80" s="1451"/>
      <c r="G80" s="1444"/>
      <c r="I80" s="1452"/>
      <c r="J80" s="1452"/>
      <c r="K80" s="1452"/>
      <c r="L80" s="1452"/>
      <c r="M80" s="1452"/>
      <c r="N80" s="1452"/>
      <c r="O80" s="1452"/>
      <c r="P80" s="1525"/>
    </row>
    <row r="81" spans="1:25" s="1439" customFormat="1" ht="13.5" customHeight="1" x14ac:dyDescent="0.3">
      <c r="A81" s="2275" t="s">
        <v>1142</v>
      </c>
      <c r="B81" s="2276"/>
      <c r="C81" s="2289"/>
      <c r="D81" s="2290"/>
      <c r="E81" s="1438"/>
      <c r="F81" s="1451"/>
      <c r="G81" s="1444"/>
      <c r="I81" s="1452"/>
      <c r="J81" s="1452"/>
      <c r="K81" s="1452"/>
      <c r="L81" s="1452"/>
      <c r="M81" s="1452"/>
      <c r="N81" s="1452"/>
      <c r="O81" s="1452"/>
      <c r="P81" s="1525"/>
    </row>
    <row r="82" spans="1:25" s="1439" customFormat="1" ht="13.5" customHeight="1" x14ac:dyDescent="0.3">
      <c r="A82" s="2275" t="s">
        <v>1154</v>
      </c>
      <c r="B82" s="2276"/>
      <c r="C82" s="2289"/>
      <c r="D82" s="2290"/>
      <c r="E82" s="1438"/>
      <c r="F82" s="1451"/>
      <c r="G82" s="1444"/>
      <c r="I82" s="1452"/>
      <c r="J82" s="1452"/>
      <c r="K82" s="1452"/>
      <c r="L82" s="1452"/>
      <c r="M82" s="1452"/>
      <c r="N82" s="1452"/>
      <c r="O82" s="1452"/>
      <c r="P82" s="1525"/>
    </row>
    <row r="83" spans="1:25" s="1439" customFormat="1" ht="13.5" customHeight="1" x14ac:dyDescent="0.3">
      <c r="A83" s="2275" t="s">
        <v>1144</v>
      </c>
      <c r="B83" s="2276"/>
      <c r="C83" s="2289"/>
      <c r="D83" s="2290"/>
      <c r="E83" s="1438"/>
      <c r="F83" s="1451"/>
      <c r="G83" s="1444"/>
      <c r="I83" s="1452"/>
      <c r="J83" s="1452"/>
      <c r="K83" s="1452"/>
      <c r="L83" s="1452"/>
      <c r="M83" s="1452"/>
      <c r="N83" s="1452"/>
      <c r="O83" s="1452"/>
      <c r="P83" s="1525"/>
    </row>
    <row r="84" spans="1:25" s="1439" customFormat="1" ht="13.5" customHeight="1" x14ac:dyDescent="0.3">
      <c r="A84" s="2275" t="s">
        <v>1157</v>
      </c>
      <c r="B84" s="2276"/>
      <c r="C84" s="2279"/>
      <c r="D84" s="2285"/>
      <c r="E84" s="1438"/>
      <c r="F84" s="1451"/>
      <c r="G84" s="1444"/>
      <c r="I84" s="1452"/>
      <c r="J84" s="1452"/>
      <c r="K84" s="1452"/>
      <c r="L84" s="1452"/>
      <c r="M84" s="1452"/>
      <c r="N84" s="1452"/>
      <c r="O84" s="1452"/>
      <c r="P84" s="1525"/>
    </row>
    <row r="85" spans="1:25" s="1439" customFormat="1" ht="12.75" customHeight="1" x14ac:dyDescent="0.3">
      <c r="A85" s="1122"/>
      <c r="B85" s="1122"/>
      <c r="C85" s="2241"/>
      <c r="D85" s="2241"/>
      <c r="E85" s="1438"/>
      <c r="F85" s="1451"/>
      <c r="G85" s="1444"/>
      <c r="I85" s="1452"/>
      <c r="J85" s="1452"/>
      <c r="K85" s="1452"/>
      <c r="L85" s="1452"/>
      <c r="M85" s="1452"/>
      <c r="N85" s="1452"/>
      <c r="O85" s="1452"/>
      <c r="P85" s="1525"/>
    </row>
    <row r="86" spans="1:25" s="1439" customFormat="1" ht="12.75" customHeight="1" x14ac:dyDescent="0.3">
      <c r="A86" s="1122"/>
      <c r="B86" s="1122"/>
      <c r="C86" s="1122"/>
      <c r="D86" s="1122"/>
      <c r="E86" s="1438"/>
      <c r="F86" s="1451"/>
      <c r="G86" s="1444"/>
      <c r="I86" s="1452"/>
      <c r="J86" s="1452"/>
      <c r="K86" s="1452"/>
      <c r="L86" s="1452"/>
      <c r="M86" s="1452"/>
      <c r="N86" s="1452"/>
      <c r="O86" s="1452"/>
      <c r="P86" s="1525"/>
    </row>
    <row r="87" spans="1:25" s="1439" customFormat="1" ht="12.75" customHeight="1" x14ac:dyDescent="0.3">
      <c r="A87" s="2254"/>
      <c r="B87" s="1415"/>
      <c r="C87" s="1415"/>
      <c r="D87" s="1415"/>
      <c r="E87" s="1438"/>
      <c r="F87" s="1451"/>
      <c r="G87" s="1444"/>
      <c r="I87" s="1452"/>
      <c r="J87" s="1452"/>
      <c r="K87" s="1452"/>
      <c r="L87" s="1452"/>
      <c r="M87" s="1452"/>
      <c r="N87" s="1452"/>
      <c r="O87" s="1452"/>
      <c r="P87" s="1525"/>
    </row>
    <row r="88" spans="1:25" s="1439" customFormat="1" ht="12.75" customHeight="1" x14ac:dyDescent="0.3">
      <c r="A88" s="1122"/>
      <c r="B88" s="1122"/>
      <c r="C88" s="1122"/>
      <c r="D88" s="1122"/>
      <c r="E88" s="1438"/>
      <c r="F88" s="1451"/>
      <c r="G88" s="1444"/>
      <c r="I88" s="1452"/>
      <c r="J88" s="1452"/>
      <c r="K88" s="1452"/>
      <c r="L88" s="1452"/>
      <c r="M88" s="1452"/>
      <c r="N88" s="1452"/>
      <c r="O88" s="1452"/>
      <c r="P88" s="1525"/>
    </row>
    <row r="89" spans="1:25" s="1458" customFormat="1" ht="12.75" customHeight="1" x14ac:dyDescent="0.3">
      <c r="A89" s="2241"/>
      <c r="B89" s="2241"/>
      <c r="C89" s="2241"/>
      <c r="D89" s="2241"/>
      <c r="E89" s="1459"/>
      <c r="F89" s="1451"/>
      <c r="G89" s="1444"/>
      <c r="I89" s="1452"/>
      <c r="J89" s="1452"/>
      <c r="K89" s="1452"/>
      <c r="L89" s="1452"/>
      <c r="M89" s="1452"/>
      <c r="N89" s="1452"/>
      <c r="O89" s="1452"/>
      <c r="P89" s="1525"/>
      <c r="Q89" s="1439"/>
    </row>
    <row r="90" spans="1:25" s="1452" customFormat="1" ht="12.75" customHeight="1" x14ac:dyDescent="0.3">
      <c r="A90" s="2241"/>
      <c r="B90" s="2241"/>
      <c r="C90" s="2241"/>
      <c r="D90" s="2241"/>
      <c r="E90" s="1460"/>
      <c r="F90" s="1451"/>
      <c r="G90" s="1444"/>
      <c r="P90" s="1525"/>
      <c r="Q90" s="1439"/>
    </row>
    <row r="91" spans="1:25" s="1452" customFormat="1" ht="12.75" customHeight="1" x14ac:dyDescent="0.3">
      <c r="A91" s="2241"/>
      <c r="B91" s="2241"/>
      <c r="C91" s="2241"/>
      <c r="D91" s="2241"/>
      <c r="E91" s="1460"/>
      <c r="F91" s="1451"/>
      <c r="G91" s="1444"/>
      <c r="P91" s="1525"/>
      <c r="Q91" s="1439"/>
    </row>
    <row r="92" spans="1:25" s="1439" customFormat="1" ht="12.75" customHeight="1" x14ac:dyDescent="0.3">
      <c r="A92" s="2291"/>
      <c r="B92" s="2241"/>
      <c r="C92" s="2241"/>
      <c r="D92" s="2241"/>
      <c r="E92" s="1438"/>
      <c r="I92" s="1452"/>
      <c r="J92" s="1452"/>
      <c r="K92" s="1452"/>
      <c r="L92" s="1452"/>
      <c r="M92" s="1452"/>
      <c r="N92" s="1452"/>
      <c r="O92" s="1452"/>
      <c r="P92" s="1525"/>
    </row>
    <row r="93" spans="1:25" s="1439" customFormat="1" ht="12.75" customHeight="1" x14ac:dyDescent="0.3">
      <c r="A93" s="2292"/>
      <c r="B93" s="2241"/>
      <c r="C93" s="2241"/>
      <c r="D93" s="2241"/>
      <c r="E93" s="1438"/>
      <c r="I93" s="1452"/>
      <c r="J93" s="1452"/>
      <c r="K93" s="1452"/>
      <c r="L93" s="1452"/>
      <c r="M93" s="1452"/>
      <c r="N93" s="1452"/>
      <c r="O93" s="1452"/>
      <c r="P93" s="1525"/>
    </row>
    <row r="94" spans="1:25" s="1439" customFormat="1" ht="12.75" customHeight="1" x14ac:dyDescent="0.3">
      <c r="A94" s="2292"/>
      <c r="B94" s="2241"/>
      <c r="C94" s="2241"/>
      <c r="D94" s="2241"/>
      <c r="E94" s="1438"/>
      <c r="I94" s="1452"/>
      <c r="J94" s="1452"/>
      <c r="K94" s="1452"/>
      <c r="L94" s="1452"/>
      <c r="M94" s="1452"/>
      <c r="N94" s="1452"/>
      <c r="O94" s="1452"/>
      <c r="P94" s="1525"/>
    </row>
    <row r="95" spans="1:25" s="1439" customFormat="1" ht="12.75" customHeight="1" x14ac:dyDescent="0.3">
      <c r="A95" s="2292"/>
      <c r="B95" s="2241"/>
      <c r="C95" s="2241"/>
      <c r="D95" s="2241"/>
      <c r="E95" s="1438"/>
      <c r="I95" s="1452"/>
      <c r="J95" s="1452"/>
      <c r="K95" s="1452"/>
      <c r="L95" s="1452"/>
      <c r="M95" s="1452"/>
      <c r="N95" s="1452"/>
      <c r="O95" s="1452"/>
      <c r="P95" s="1525"/>
    </row>
    <row r="96" spans="1:25" ht="12.75" customHeight="1" x14ac:dyDescent="0.3">
      <c r="A96" s="2292"/>
      <c r="E96" s="1461"/>
      <c r="I96" s="1452"/>
      <c r="J96" s="1452"/>
      <c r="K96" s="1452"/>
      <c r="L96" s="1452"/>
      <c r="M96" s="1452"/>
      <c r="N96" s="1452"/>
      <c r="O96" s="1452"/>
      <c r="P96" s="1525"/>
      <c r="R96" s="1462"/>
      <c r="S96" s="1462"/>
      <c r="T96" s="1462"/>
      <c r="U96" s="1462"/>
      <c r="V96" s="1462"/>
      <c r="W96" s="1462"/>
      <c r="X96" s="1462"/>
      <c r="Y96" s="1462"/>
    </row>
    <row r="97" spans="1:25" ht="12.75" customHeight="1" x14ac:dyDescent="0.3">
      <c r="A97" s="2293"/>
      <c r="B97" s="2294"/>
      <c r="C97" s="2294"/>
      <c r="D97" s="2294"/>
      <c r="E97" s="1461"/>
      <c r="I97" s="1452"/>
      <c r="J97" s="1452"/>
      <c r="K97" s="1452"/>
      <c r="L97" s="1452"/>
      <c r="M97" s="1452"/>
      <c r="N97" s="1452"/>
      <c r="O97" s="1452"/>
      <c r="P97" s="1525"/>
      <c r="R97" s="1462"/>
      <c r="S97" s="1462"/>
      <c r="T97" s="1462"/>
      <c r="U97" s="1462"/>
      <c r="V97" s="1462"/>
      <c r="W97" s="1462"/>
      <c r="X97" s="1462"/>
      <c r="Y97" s="1462"/>
    </row>
    <row r="98" spans="1:25" ht="12.75" customHeight="1" x14ac:dyDescent="0.3">
      <c r="A98" s="2293"/>
      <c r="B98" s="2294"/>
      <c r="C98" s="2294"/>
      <c r="D98" s="2294"/>
      <c r="E98" s="1461"/>
      <c r="I98" s="1452"/>
      <c r="J98" s="1452"/>
      <c r="K98" s="1452"/>
      <c r="L98" s="1452"/>
      <c r="M98" s="1452"/>
      <c r="N98" s="1452"/>
      <c r="O98" s="1452"/>
      <c r="P98" s="1525"/>
      <c r="R98" s="1462"/>
      <c r="S98" s="1462"/>
      <c r="T98" s="1462"/>
      <c r="U98" s="1462"/>
      <c r="V98" s="1462"/>
      <c r="W98" s="1462"/>
      <c r="X98" s="1462"/>
      <c r="Y98" s="1462"/>
    </row>
    <row r="99" spans="1:25" ht="12.75" customHeight="1" x14ac:dyDescent="0.3">
      <c r="A99" s="2293"/>
      <c r="B99" s="2294"/>
      <c r="C99" s="2294"/>
      <c r="D99" s="2294"/>
      <c r="E99" s="1461"/>
      <c r="I99" s="1452"/>
      <c r="J99" s="1452"/>
      <c r="K99" s="1452"/>
      <c r="L99" s="1452"/>
      <c r="M99" s="1452"/>
      <c r="N99" s="1452"/>
      <c r="O99" s="1452"/>
      <c r="P99" s="1525"/>
      <c r="R99" s="1462"/>
      <c r="S99" s="1462"/>
      <c r="T99" s="1462"/>
      <c r="U99" s="1462"/>
      <c r="V99" s="1462"/>
      <c r="W99" s="1462"/>
      <c r="X99" s="1462"/>
      <c r="Y99" s="1462"/>
    </row>
    <row r="100" spans="1:25" ht="12.75" customHeight="1" x14ac:dyDescent="0.3">
      <c r="A100" s="2293"/>
      <c r="B100" s="2294"/>
      <c r="C100" s="2294"/>
      <c r="D100" s="2294"/>
      <c r="E100" s="1461"/>
      <c r="I100" s="1452"/>
      <c r="J100" s="1452"/>
      <c r="K100" s="1452"/>
      <c r="L100" s="1452"/>
      <c r="M100" s="1452"/>
      <c r="N100" s="1452"/>
      <c r="O100" s="1452"/>
      <c r="P100" s="1525"/>
      <c r="R100" s="1462"/>
      <c r="S100" s="1462"/>
      <c r="T100" s="1462"/>
      <c r="U100" s="1462"/>
      <c r="V100" s="1462"/>
      <c r="W100" s="1462"/>
      <c r="X100" s="1462"/>
      <c r="Y100" s="1462"/>
    </row>
    <row r="101" spans="1:25" ht="12.75" customHeight="1" x14ac:dyDescent="0.3">
      <c r="A101" s="2293"/>
      <c r="B101" s="2294"/>
      <c r="C101" s="2294"/>
      <c r="D101" s="2294"/>
      <c r="E101" s="1461"/>
      <c r="I101" s="1452"/>
      <c r="J101" s="1452"/>
      <c r="K101" s="1452"/>
      <c r="L101" s="1452"/>
      <c r="M101" s="1452"/>
      <c r="N101" s="1452"/>
      <c r="O101" s="1452"/>
      <c r="P101" s="1525"/>
      <c r="R101" s="1462"/>
      <c r="S101" s="1462"/>
      <c r="T101" s="1462"/>
      <c r="U101" s="1462"/>
      <c r="V101" s="1462"/>
      <c r="W101" s="1462"/>
      <c r="X101" s="1462"/>
      <c r="Y101" s="1462"/>
    </row>
    <row r="102" spans="1:25" ht="12.75" customHeight="1" x14ac:dyDescent="0.3">
      <c r="A102" s="2293"/>
      <c r="B102" s="2294"/>
      <c r="C102" s="2294"/>
      <c r="D102" s="2294"/>
      <c r="E102" s="1461"/>
      <c r="I102" s="1452"/>
      <c r="J102" s="1452"/>
      <c r="K102" s="1452"/>
      <c r="L102" s="1452"/>
      <c r="M102" s="1452"/>
      <c r="N102" s="1452"/>
      <c r="O102" s="1452"/>
      <c r="P102" s="1525"/>
      <c r="R102" s="1462"/>
      <c r="S102" s="1462"/>
      <c r="T102" s="1462"/>
      <c r="U102" s="1462"/>
      <c r="V102" s="1462"/>
      <c r="W102" s="1462"/>
      <c r="X102" s="1462"/>
      <c r="Y102" s="1462"/>
    </row>
    <row r="103" spans="1:25" ht="12.75" customHeight="1" x14ac:dyDescent="0.3">
      <c r="A103" s="2293"/>
      <c r="B103" s="2294"/>
      <c r="C103" s="2294"/>
      <c r="D103" s="2294"/>
      <c r="E103" s="1461"/>
      <c r="I103" s="1452"/>
      <c r="J103" s="1452"/>
      <c r="K103" s="1452"/>
      <c r="L103" s="1452"/>
      <c r="M103" s="1452"/>
      <c r="N103" s="1452"/>
      <c r="O103" s="1452"/>
      <c r="P103" s="1525"/>
      <c r="R103" s="1462"/>
      <c r="S103" s="1462"/>
      <c r="T103" s="1462"/>
      <c r="U103" s="1462"/>
      <c r="V103" s="1462"/>
      <c r="W103" s="1462"/>
      <c r="X103" s="1462"/>
      <c r="Y103" s="1462"/>
    </row>
    <row r="104" spans="1:25" ht="12.75" customHeight="1" x14ac:dyDescent="0.3">
      <c r="A104" s="2293"/>
      <c r="B104" s="2294"/>
      <c r="C104" s="2294"/>
      <c r="D104" s="2294"/>
      <c r="E104" s="1461"/>
      <c r="I104" s="1452"/>
      <c r="J104" s="1452"/>
      <c r="K104" s="1452"/>
      <c r="L104" s="1452"/>
      <c r="M104" s="1452"/>
      <c r="N104" s="1452"/>
      <c r="O104" s="1452"/>
      <c r="P104" s="1525"/>
      <c r="R104" s="1462"/>
      <c r="S104" s="1462"/>
      <c r="T104" s="1462"/>
      <c r="U104" s="1462"/>
      <c r="V104" s="1462"/>
      <c r="W104" s="1462"/>
      <c r="X104" s="1462"/>
      <c r="Y104" s="1462"/>
    </row>
    <row r="105" spans="1:25" ht="12.75" customHeight="1" x14ac:dyDescent="0.3">
      <c r="A105" s="2293"/>
      <c r="B105" s="2294"/>
      <c r="C105" s="2294"/>
      <c r="D105" s="2294"/>
      <c r="E105" s="1461"/>
      <c r="I105" s="1452"/>
      <c r="J105" s="1452"/>
      <c r="K105" s="1452"/>
      <c r="L105" s="1452"/>
      <c r="M105" s="1452"/>
      <c r="N105" s="1452"/>
      <c r="O105" s="1452"/>
      <c r="P105" s="1525"/>
      <c r="R105" s="1462"/>
      <c r="S105" s="1462"/>
      <c r="T105" s="1462"/>
      <c r="U105" s="1462"/>
      <c r="V105" s="1462"/>
      <c r="W105" s="1462"/>
      <c r="X105" s="1462"/>
      <c r="Y105" s="1462"/>
    </row>
    <row r="106" spans="1:25" ht="12.75" customHeight="1" x14ac:dyDescent="0.3">
      <c r="A106" s="2293"/>
      <c r="B106" s="2294"/>
      <c r="C106" s="2294"/>
      <c r="D106" s="2294"/>
      <c r="E106" s="1461"/>
      <c r="I106" s="1452"/>
      <c r="J106" s="1452"/>
      <c r="K106" s="1452"/>
      <c r="L106" s="1452"/>
      <c r="M106" s="1452"/>
      <c r="N106" s="1452"/>
      <c r="O106" s="1452"/>
      <c r="P106" s="1525"/>
      <c r="R106" s="1462"/>
      <c r="S106" s="1462"/>
      <c r="T106" s="1462"/>
      <c r="U106" s="1462"/>
      <c r="V106" s="1462"/>
      <c r="W106" s="1462"/>
      <c r="X106" s="1462"/>
      <c r="Y106" s="1462"/>
    </row>
    <row r="107" spans="1:25" ht="12.75" customHeight="1" x14ac:dyDescent="0.3">
      <c r="A107" s="2293"/>
      <c r="B107" s="2294"/>
      <c r="C107" s="2294"/>
      <c r="D107" s="2294"/>
      <c r="E107" s="1461"/>
      <c r="I107" s="1452"/>
      <c r="J107" s="1452"/>
      <c r="K107" s="1452"/>
      <c r="L107" s="1452"/>
      <c r="M107" s="1452"/>
      <c r="N107" s="1452"/>
      <c r="O107" s="1452"/>
      <c r="P107" s="1525"/>
      <c r="R107" s="1462"/>
      <c r="S107" s="1462"/>
      <c r="T107" s="1462"/>
      <c r="U107" s="1462"/>
      <c r="V107" s="1462"/>
      <c r="W107" s="1462"/>
      <c r="X107" s="1462"/>
      <c r="Y107" s="1462"/>
    </row>
    <row r="108" spans="1:25" ht="12.75" customHeight="1" x14ac:dyDescent="0.3">
      <c r="A108" s="2293"/>
      <c r="B108" s="2294"/>
      <c r="C108" s="2294"/>
      <c r="D108" s="2294"/>
      <c r="E108" s="1461"/>
      <c r="I108" s="1452"/>
      <c r="J108" s="1452"/>
      <c r="K108" s="1452"/>
      <c r="L108" s="1452"/>
      <c r="M108" s="1452"/>
      <c r="N108" s="1452"/>
      <c r="O108" s="1452"/>
      <c r="P108" s="1525"/>
      <c r="R108" s="1462"/>
      <c r="S108" s="1462"/>
      <c r="T108" s="1462"/>
      <c r="U108" s="1462"/>
      <c r="V108" s="1462"/>
      <c r="W108" s="1462"/>
      <c r="X108" s="1462"/>
      <c r="Y108" s="1462"/>
    </row>
    <row r="109" spans="1:25" ht="12.75" customHeight="1" x14ac:dyDescent="0.3">
      <c r="A109" s="2293"/>
      <c r="B109" s="2294"/>
      <c r="C109" s="2294"/>
      <c r="D109" s="2294"/>
      <c r="E109" s="1461"/>
      <c r="I109" s="1452"/>
      <c r="J109" s="1452"/>
      <c r="K109" s="1452"/>
      <c r="L109" s="1452"/>
      <c r="M109" s="1452"/>
      <c r="N109" s="1452"/>
      <c r="O109" s="1452"/>
      <c r="P109" s="1525"/>
      <c r="R109" s="1462"/>
      <c r="S109" s="1462"/>
      <c r="T109" s="1462"/>
      <c r="U109" s="1462"/>
      <c r="V109" s="1462"/>
      <c r="W109" s="1462"/>
      <c r="X109" s="1462"/>
      <c r="Y109" s="1462"/>
    </row>
    <row r="110" spans="1:25" ht="12.75" customHeight="1" x14ac:dyDescent="0.3">
      <c r="A110" s="2293"/>
      <c r="B110" s="2294"/>
      <c r="C110" s="2294"/>
      <c r="D110" s="2294"/>
      <c r="E110" s="1461"/>
      <c r="I110" s="1452"/>
      <c r="J110" s="1452"/>
      <c r="K110" s="1452"/>
      <c r="L110" s="1452"/>
      <c r="M110" s="1452"/>
      <c r="N110" s="1452"/>
      <c r="O110" s="1452"/>
      <c r="P110" s="1525"/>
      <c r="R110" s="1462"/>
      <c r="S110" s="1462"/>
      <c r="T110" s="1462"/>
      <c r="U110" s="1462"/>
      <c r="V110" s="1462"/>
      <c r="W110" s="1462"/>
      <c r="X110" s="1462"/>
      <c r="Y110" s="1462"/>
    </row>
    <row r="111" spans="1:25" ht="12.75" customHeight="1" x14ac:dyDescent="0.3">
      <c r="A111" s="2293"/>
      <c r="B111" s="2294"/>
      <c r="C111" s="2294"/>
      <c r="D111" s="2294"/>
      <c r="E111" s="1461"/>
      <c r="I111" s="1452"/>
      <c r="J111" s="1452"/>
      <c r="K111" s="1452"/>
      <c r="L111" s="1452"/>
      <c r="M111" s="1452"/>
      <c r="N111" s="1452"/>
      <c r="O111" s="1452"/>
      <c r="P111" s="1525"/>
      <c r="R111" s="1462"/>
      <c r="S111" s="1462"/>
      <c r="T111" s="1462"/>
      <c r="U111" s="1462"/>
      <c r="V111" s="1462"/>
      <c r="W111" s="1462"/>
      <c r="X111" s="1462"/>
      <c r="Y111" s="1462"/>
    </row>
    <row r="112" spans="1:25" ht="12.75" customHeight="1" x14ac:dyDescent="0.3">
      <c r="A112" s="2293"/>
      <c r="B112" s="2294"/>
      <c r="C112" s="2294"/>
      <c r="D112" s="2294"/>
      <c r="E112" s="1461"/>
      <c r="I112" s="1452"/>
      <c r="J112" s="1452"/>
      <c r="K112" s="1452"/>
      <c r="L112" s="1452"/>
      <c r="M112" s="1452"/>
      <c r="N112" s="1452"/>
      <c r="O112" s="1452"/>
      <c r="P112" s="1525"/>
      <c r="R112" s="1462"/>
      <c r="S112" s="1462"/>
      <c r="T112" s="1462"/>
      <c r="U112" s="1462"/>
      <c r="V112" s="1462"/>
      <c r="W112" s="1462"/>
      <c r="X112" s="1462"/>
      <c r="Y112" s="1462"/>
    </row>
    <row r="113" spans="1:25" ht="12.75" customHeight="1" x14ac:dyDescent="0.3">
      <c r="A113" s="2293"/>
      <c r="B113" s="2294"/>
      <c r="C113" s="2294"/>
      <c r="D113" s="2294"/>
      <c r="E113" s="1461"/>
      <c r="I113" s="1452"/>
      <c r="J113" s="1452"/>
      <c r="K113" s="1452"/>
      <c r="L113" s="1452"/>
      <c r="M113" s="1452"/>
      <c r="N113" s="1452"/>
      <c r="O113" s="1452"/>
      <c r="P113" s="1525"/>
      <c r="R113" s="1462"/>
      <c r="S113" s="1462"/>
      <c r="T113" s="1462"/>
      <c r="U113" s="1462"/>
      <c r="V113" s="1462"/>
      <c r="W113" s="1462"/>
      <c r="X113" s="1462"/>
      <c r="Y113" s="1462"/>
    </row>
    <row r="114" spans="1:25" ht="12.75" customHeight="1" x14ac:dyDescent="0.3">
      <c r="A114" s="2293"/>
      <c r="B114" s="2294"/>
      <c r="C114" s="2294"/>
      <c r="D114" s="2294"/>
      <c r="E114" s="1461"/>
      <c r="I114" s="1452"/>
      <c r="J114" s="1452"/>
      <c r="K114" s="1452"/>
      <c r="L114" s="1452"/>
      <c r="M114" s="1452"/>
      <c r="N114" s="1452"/>
      <c r="O114" s="1452"/>
      <c r="P114" s="1525"/>
      <c r="R114" s="1462"/>
      <c r="S114" s="1462"/>
      <c r="T114" s="1462"/>
      <c r="U114" s="1462"/>
      <c r="V114" s="1462"/>
      <c r="W114" s="1462"/>
      <c r="X114" s="1462"/>
      <c r="Y114" s="1462"/>
    </row>
    <row r="115" spans="1:25" ht="12.75" customHeight="1" x14ac:dyDescent="0.3">
      <c r="A115" s="2293"/>
      <c r="B115" s="2294"/>
      <c r="C115" s="2294"/>
      <c r="D115" s="2294"/>
      <c r="E115" s="1461"/>
      <c r="I115" s="1452"/>
      <c r="J115" s="1452"/>
      <c r="K115" s="1452"/>
      <c r="L115" s="1452"/>
      <c r="M115" s="1452"/>
      <c r="N115" s="1452"/>
      <c r="O115" s="1452"/>
      <c r="P115" s="1525"/>
      <c r="R115" s="1462"/>
      <c r="S115" s="1462"/>
      <c r="T115" s="1462"/>
      <c r="U115" s="1462"/>
      <c r="V115" s="1462"/>
      <c r="W115" s="1462"/>
      <c r="X115" s="1462"/>
      <c r="Y115" s="1462"/>
    </row>
    <row r="116" spans="1:25" ht="12.75" customHeight="1" x14ac:dyDescent="0.3">
      <c r="A116" s="2293"/>
      <c r="B116" s="2294"/>
      <c r="C116" s="2294"/>
      <c r="D116" s="2294"/>
      <c r="E116" s="1461"/>
      <c r="I116" s="1452"/>
      <c r="J116" s="1452"/>
      <c r="K116" s="1452"/>
      <c r="L116" s="1452"/>
      <c r="M116" s="1452"/>
      <c r="N116" s="1452"/>
      <c r="O116" s="1452"/>
      <c r="P116" s="1525"/>
      <c r="R116" s="1462"/>
      <c r="S116" s="1462"/>
      <c r="T116" s="1462"/>
      <c r="U116" s="1462"/>
      <c r="V116" s="1462"/>
      <c r="W116" s="1462"/>
      <c r="X116" s="1462"/>
      <c r="Y116" s="1462"/>
    </row>
    <row r="117" spans="1:25" ht="12.75" customHeight="1" x14ac:dyDescent="0.3">
      <c r="A117" s="2293"/>
      <c r="B117" s="2294"/>
      <c r="C117" s="2294"/>
      <c r="D117" s="2294"/>
      <c r="E117" s="1461"/>
      <c r="I117" s="1452"/>
      <c r="J117" s="1452"/>
      <c r="K117" s="1452"/>
      <c r="L117" s="1452"/>
      <c r="M117" s="1452"/>
      <c r="N117" s="1452"/>
      <c r="O117" s="1452"/>
      <c r="P117" s="1525"/>
      <c r="R117" s="1462"/>
      <c r="S117" s="1462"/>
      <c r="T117" s="1462"/>
      <c r="U117" s="1462"/>
      <c r="V117" s="1462"/>
      <c r="W117" s="1462"/>
      <c r="X117" s="1462"/>
      <c r="Y117" s="1462"/>
    </row>
    <row r="118" spans="1:25" ht="12.75" customHeight="1" x14ac:dyDescent="0.3">
      <c r="A118" s="2293"/>
      <c r="B118" s="2294"/>
      <c r="C118" s="2294"/>
      <c r="D118" s="2294"/>
      <c r="E118" s="1461"/>
      <c r="I118" s="1452"/>
      <c r="J118" s="1452"/>
      <c r="K118" s="1452"/>
      <c r="L118" s="1452"/>
      <c r="M118" s="1452"/>
      <c r="N118" s="1452"/>
      <c r="O118" s="1452"/>
      <c r="P118" s="1525"/>
      <c r="R118" s="1462"/>
      <c r="S118" s="1462"/>
      <c r="T118" s="1462"/>
      <c r="U118" s="1462"/>
      <c r="V118" s="1462"/>
      <c r="W118" s="1462"/>
      <c r="X118" s="1462"/>
      <c r="Y118" s="1462"/>
    </row>
    <row r="119" spans="1:25" ht="12.75" customHeight="1" x14ac:dyDescent="0.3">
      <c r="A119" s="2294"/>
      <c r="B119" s="2294"/>
      <c r="C119" s="2294"/>
      <c r="D119" s="2294"/>
      <c r="E119" s="1461"/>
      <c r="I119" s="1452"/>
      <c r="J119" s="1452"/>
      <c r="K119" s="1452"/>
      <c r="L119" s="1452"/>
      <c r="M119" s="1452"/>
      <c r="N119" s="1452"/>
      <c r="O119" s="1452"/>
      <c r="P119" s="1525"/>
      <c r="R119" s="1462"/>
      <c r="S119" s="1462"/>
      <c r="T119" s="1462"/>
      <c r="U119" s="1462"/>
      <c r="V119" s="1462"/>
      <c r="W119" s="1462"/>
      <c r="X119" s="1462"/>
      <c r="Y119" s="1462"/>
    </row>
    <row r="120" spans="1:25" ht="12.75" customHeight="1" x14ac:dyDescent="0.3">
      <c r="A120" s="2294"/>
      <c r="B120" s="2294"/>
      <c r="C120" s="2294"/>
      <c r="D120" s="2294"/>
      <c r="E120" s="1461"/>
      <c r="I120" s="1452"/>
      <c r="J120" s="1452"/>
      <c r="K120" s="1452"/>
      <c r="L120" s="1452"/>
      <c r="M120" s="1452"/>
      <c r="N120" s="1452"/>
      <c r="O120" s="1452"/>
      <c r="P120" s="1525"/>
      <c r="R120" s="1462"/>
      <c r="S120" s="1462"/>
      <c r="T120" s="1462"/>
      <c r="U120" s="1462"/>
      <c r="V120" s="1462"/>
      <c r="W120" s="1462"/>
      <c r="X120" s="1462"/>
      <c r="Y120" s="1462"/>
    </row>
    <row r="121" spans="1:25" ht="12.75" customHeight="1" x14ac:dyDescent="0.3">
      <c r="A121" s="2294"/>
      <c r="B121" s="2294"/>
      <c r="C121" s="2294"/>
      <c r="D121" s="2294"/>
      <c r="E121" s="1461"/>
      <c r="I121" s="1452"/>
      <c r="J121" s="1452"/>
      <c r="K121" s="1452"/>
      <c r="L121" s="1452"/>
      <c r="M121" s="1452"/>
      <c r="N121" s="1452"/>
      <c r="O121" s="1452"/>
      <c r="P121" s="1525"/>
      <c r="R121" s="1462"/>
      <c r="S121" s="1462"/>
      <c r="T121" s="1462"/>
      <c r="U121" s="1462"/>
      <c r="V121" s="1462"/>
      <c r="W121" s="1462"/>
      <c r="X121" s="1462"/>
      <c r="Y121" s="1462"/>
    </row>
    <row r="122" spans="1:25" ht="12.75" customHeight="1" x14ac:dyDescent="0.3">
      <c r="A122" s="2294"/>
      <c r="B122" s="2294"/>
      <c r="C122" s="2294"/>
      <c r="D122" s="2294"/>
      <c r="E122" s="1461"/>
      <c r="I122" s="1452"/>
      <c r="J122" s="1452"/>
      <c r="K122" s="1452"/>
      <c r="L122" s="1452"/>
      <c r="M122" s="1452"/>
      <c r="N122" s="1452"/>
      <c r="O122" s="1452"/>
      <c r="P122" s="1525"/>
      <c r="R122" s="1462"/>
      <c r="S122" s="1462"/>
      <c r="T122" s="1462"/>
      <c r="U122" s="1462"/>
      <c r="V122" s="1462"/>
      <c r="W122" s="1462"/>
      <c r="X122" s="1462"/>
      <c r="Y122" s="1462"/>
    </row>
    <row r="123" spans="1:25" ht="12.75" customHeight="1" x14ac:dyDescent="0.3">
      <c r="A123" s="2294"/>
      <c r="B123" s="2294"/>
      <c r="C123" s="2294"/>
      <c r="D123" s="2294"/>
      <c r="E123" s="1461"/>
      <c r="I123" s="1452"/>
      <c r="J123" s="1452"/>
      <c r="K123" s="1452"/>
      <c r="L123" s="1452"/>
      <c r="M123" s="1452"/>
      <c r="N123" s="1452"/>
      <c r="O123" s="1452"/>
      <c r="P123" s="1525"/>
      <c r="R123" s="1462"/>
      <c r="S123" s="1462"/>
      <c r="T123" s="1462"/>
      <c r="U123" s="1462"/>
      <c r="V123" s="1462"/>
      <c r="W123" s="1462"/>
      <c r="X123" s="1462"/>
      <c r="Y123" s="1462"/>
    </row>
    <row r="124" spans="1:25" ht="12.75" customHeight="1" x14ac:dyDescent="0.3">
      <c r="A124" s="2294"/>
      <c r="B124" s="2294"/>
      <c r="C124" s="2294"/>
      <c r="D124" s="2294"/>
      <c r="E124" s="1461"/>
      <c r="I124" s="1452"/>
      <c r="J124" s="1452"/>
      <c r="K124" s="1452"/>
      <c r="L124" s="1452"/>
      <c r="M124" s="1452"/>
      <c r="N124" s="1452"/>
      <c r="O124" s="1452"/>
      <c r="P124" s="1525"/>
      <c r="R124" s="1462"/>
      <c r="S124" s="1462"/>
      <c r="T124" s="1462"/>
      <c r="U124" s="1462"/>
      <c r="V124" s="1462"/>
      <c r="W124" s="1462"/>
      <c r="X124" s="1462"/>
      <c r="Y124" s="1462"/>
    </row>
    <row r="125" spans="1:25" ht="12.75" customHeight="1" x14ac:dyDescent="0.3">
      <c r="A125" s="2294"/>
      <c r="B125" s="2294"/>
      <c r="C125" s="2294"/>
      <c r="D125" s="2294"/>
      <c r="E125" s="1461"/>
      <c r="I125" s="1452"/>
      <c r="J125" s="1452"/>
      <c r="K125" s="1452"/>
      <c r="L125" s="1452"/>
      <c r="M125" s="1452"/>
      <c r="N125" s="1452"/>
      <c r="O125" s="1452"/>
      <c r="P125" s="1525"/>
      <c r="R125" s="1462"/>
      <c r="S125" s="1462"/>
      <c r="T125" s="1462"/>
      <c r="U125" s="1462"/>
      <c r="V125" s="1462"/>
      <c r="W125" s="1462"/>
      <c r="X125" s="1462"/>
      <c r="Y125" s="1462"/>
    </row>
    <row r="126" spans="1:25" ht="12.75" customHeight="1" x14ac:dyDescent="0.3">
      <c r="A126" s="2294"/>
      <c r="B126" s="2294"/>
      <c r="C126" s="2294"/>
      <c r="D126" s="2294"/>
      <c r="E126" s="1461"/>
      <c r="I126" s="1452"/>
      <c r="J126" s="1452"/>
      <c r="K126" s="1452"/>
      <c r="L126" s="1452"/>
      <c r="M126" s="1452"/>
      <c r="N126" s="1452"/>
      <c r="O126" s="1452"/>
      <c r="P126" s="1525"/>
      <c r="R126" s="1462"/>
      <c r="S126" s="1462"/>
      <c r="T126" s="1462"/>
      <c r="U126" s="1462"/>
      <c r="V126" s="1462"/>
      <c r="W126" s="1462"/>
      <c r="X126" s="1462"/>
      <c r="Y126" s="1462"/>
    </row>
    <row r="127" spans="1:25" ht="12.75" customHeight="1" x14ac:dyDescent="0.3">
      <c r="A127" s="2294"/>
      <c r="B127" s="2294"/>
      <c r="C127" s="2294"/>
      <c r="D127" s="2294"/>
      <c r="E127" s="1461"/>
      <c r="I127" s="1452"/>
      <c r="J127" s="1452"/>
      <c r="K127" s="1452"/>
      <c r="L127" s="1452"/>
      <c r="M127" s="1452"/>
      <c r="N127" s="1452"/>
      <c r="O127" s="1452"/>
      <c r="P127" s="1525"/>
      <c r="R127" s="1462"/>
      <c r="S127" s="1462"/>
      <c r="T127" s="1462"/>
      <c r="U127" s="1462"/>
      <c r="V127" s="1462"/>
      <c r="W127" s="1462"/>
      <c r="X127" s="1462"/>
      <c r="Y127" s="1462"/>
    </row>
    <row r="128" spans="1:25" x14ac:dyDescent="0.3">
      <c r="A128" s="2294"/>
      <c r="B128" s="2294"/>
      <c r="C128" s="2294"/>
      <c r="D128" s="2294"/>
      <c r="E128" s="1461"/>
      <c r="I128" s="1452"/>
      <c r="J128" s="1452"/>
      <c r="K128" s="1452"/>
      <c r="L128" s="1452"/>
      <c r="M128" s="1452"/>
      <c r="N128" s="1452"/>
      <c r="O128" s="1452"/>
      <c r="P128" s="1525"/>
      <c r="R128" s="1462"/>
      <c r="S128" s="1462"/>
      <c r="T128" s="1462"/>
      <c r="U128" s="1462"/>
      <c r="V128" s="1462"/>
      <c r="W128" s="1462"/>
      <c r="X128" s="1462"/>
      <c r="Y128" s="1462"/>
    </row>
    <row r="129" spans="1:25" x14ac:dyDescent="0.3">
      <c r="A129" s="2294"/>
      <c r="B129" s="2294"/>
      <c r="C129" s="2294"/>
      <c r="D129" s="2294"/>
      <c r="E129" s="1461"/>
      <c r="I129" s="1452"/>
      <c r="J129" s="1452"/>
      <c r="K129" s="1452"/>
      <c r="L129" s="1452"/>
      <c r="M129" s="1452"/>
      <c r="N129" s="1452"/>
      <c r="O129" s="1452"/>
      <c r="P129" s="1525"/>
      <c r="R129" s="1462"/>
      <c r="S129" s="1462"/>
      <c r="T129" s="1462"/>
      <c r="U129" s="1462"/>
      <c r="V129" s="1462"/>
      <c r="W129" s="1462"/>
      <c r="X129" s="1462"/>
      <c r="Y129" s="1462"/>
    </row>
    <row r="130" spans="1:25" x14ac:dyDescent="0.3">
      <c r="A130" s="2294"/>
      <c r="B130" s="2294"/>
      <c r="C130" s="2294"/>
      <c r="D130" s="2294"/>
      <c r="E130" s="1461"/>
      <c r="I130" s="1452"/>
      <c r="J130" s="1452"/>
      <c r="K130" s="1452"/>
      <c r="L130" s="1452"/>
      <c r="M130" s="1452"/>
      <c r="N130" s="1452"/>
      <c r="O130" s="1452"/>
      <c r="P130" s="1525"/>
      <c r="R130" s="1462"/>
      <c r="S130" s="1462"/>
      <c r="T130" s="1462"/>
      <c r="U130" s="1462"/>
      <c r="V130" s="1462"/>
      <c r="W130" s="1462"/>
      <c r="X130" s="1462"/>
      <c r="Y130" s="1462"/>
    </row>
    <row r="131" spans="1:25" x14ac:dyDescent="0.3">
      <c r="A131" s="2294"/>
      <c r="B131" s="2294"/>
      <c r="C131" s="2294"/>
      <c r="D131" s="2294"/>
      <c r="E131" s="1461"/>
      <c r="I131" s="1452"/>
      <c r="J131" s="1452"/>
      <c r="K131" s="1452"/>
      <c r="L131" s="1452"/>
      <c r="M131" s="1452"/>
      <c r="N131" s="1452"/>
      <c r="O131" s="1452"/>
      <c r="P131" s="1525"/>
      <c r="R131" s="1462"/>
      <c r="S131" s="1462"/>
      <c r="T131" s="1462"/>
      <c r="U131" s="1462"/>
      <c r="V131" s="1462"/>
      <c r="W131" s="1462"/>
      <c r="X131" s="1462"/>
      <c r="Y131" s="1462"/>
    </row>
    <row r="132" spans="1:25" x14ac:dyDescent="0.3">
      <c r="A132" s="2294"/>
      <c r="B132" s="2294"/>
      <c r="C132" s="2294"/>
      <c r="D132" s="2294"/>
      <c r="E132" s="1461"/>
      <c r="I132" s="1452"/>
      <c r="J132" s="1452"/>
      <c r="K132" s="1452"/>
      <c r="L132" s="1452"/>
      <c r="M132" s="1452"/>
      <c r="N132" s="1452"/>
      <c r="O132" s="1452"/>
      <c r="P132" s="1525"/>
      <c r="R132" s="1462"/>
      <c r="S132" s="1462"/>
      <c r="T132" s="1462"/>
      <c r="U132" s="1462"/>
      <c r="V132" s="1462"/>
      <c r="W132" s="1462"/>
      <c r="X132" s="1462"/>
      <c r="Y132" s="1462"/>
    </row>
    <row r="133" spans="1:25" x14ac:dyDescent="0.3">
      <c r="A133" s="2294"/>
      <c r="B133" s="2294"/>
      <c r="C133" s="2294"/>
      <c r="D133" s="2294"/>
      <c r="E133" s="1461"/>
      <c r="I133" s="1452"/>
      <c r="J133" s="1452"/>
      <c r="K133" s="1452"/>
      <c r="L133" s="1452"/>
      <c r="M133" s="1452"/>
      <c r="N133" s="1452"/>
      <c r="O133" s="1452"/>
      <c r="P133" s="1525"/>
      <c r="R133" s="1462"/>
      <c r="S133" s="1462"/>
      <c r="T133" s="1462"/>
      <c r="U133" s="1462"/>
      <c r="V133" s="1462"/>
      <c r="W133" s="1462"/>
      <c r="X133" s="1462"/>
      <c r="Y133" s="1462"/>
    </row>
    <row r="134" spans="1:25" x14ac:dyDescent="0.3">
      <c r="A134" s="2294"/>
      <c r="B134" s="2294"/>
      <c r="C134" s="2294"/>
      <c r="D134" s="2294"/>
      <c r="E134" s="1461"/>
      <c r="I134" s="1452"/>
      <c r="J134" s="1452"/>
      <c r="K134" s="1452"/>
      <c r="L134" s="1452"/>
      <c r="M134" s="1452"/>
      <c r="N134" s="1452"/>
      <c r="O134" s="1452"/>
      <c r="P134" s="1525"/>
      <c r="R134" s="1462"/>
      <c r="S134" s="1462"/>
      <c r="T134" s="1462"/>
      <c r="U134" s="1462"/>
      <c r="V134" s="1462"/>
      <c r="W134" s="1462"/>
      <c r="X134" s="1462"/>
      <c r="Y134" s="1462"/>
    </row>
    <row r="135" spans="1:25" x14ac:dyDescent="0.3">
      <c r="A135" s="2294"/>
      <c r="B135" s="2294"/>
      <c r="C135" s="2294"/>
      <c r="D135" s="2294"/>
      <c r="E135" s="1461"/>
      <c r="I135" s="1452"/>
      <c r="J135" s="1452"/>
      <c r="K135" s="1452"/>
      <c r="L135" s="1452"/>
      <c r="M135" s="1452"/>
      <c r="N135" s="1452"/>
      <c r="O135" s="1452"/>
      <c r="P135" s="1525"/>
      <c r="R135" s="1462"/>
      <c r="S135" s="1462"/>
      <c r="T135" s="1462"/>
      <c r="U135" s="1462"/>
      <c r="V135" s="1462"/>
      <c r="W135" s="1462"/>
      <c r="X135" s="1462"/>
      <c r="Y135" s="1462"/>
    </row>
    <row r="136" spans="1:25" x14ac:dyDescent="0.3">
      <c r="A136" s="2294"/>
      <c r="B136" s="2294"/>
      <c r="C136" s="2294"/>
      <c r="D136" s="2294"/>
      <c r="E136" s="1461"/>
      <c r="I136" s="1452"/>
      <c r="J136" s="1452"/>
      <c r="K136" s="1452"/>
      <c r="L136" s="1452"/>
      <c r="M136" s="1452"/>
      <c r="N136" s="1452"/>
      <c r="O136" s="1452"/>
      <c r="P136" s="1525"/>
      <c r="R136" s="1462"/>
      <c r="S136" s="1462"/>
      <c r="T136" s="1462"/>
      <c r="U136" s="1462"/>
      <c r="V136" s="1462"/>
      <c r="W136" s="1462"/>
      <c r="X136" s="1462"/>
      <c r="Y136" s="1462"/>
    </row>
    <row r="137" spans="1:25" x14ac:dyDescent="0.3">
      <c r="A137" s="2294"/>
      <c r="B137" s="2294"/>
      <c r="C137" s="2294"/>
      <c r="D137" s="2294"/>
      <c r="E137" s="1461"/>
      <c r="I137" s="1452"/>
      <c r="J137" s="1452"/>
      <c r="K137" s="1452"/>
      <c r="L137" s="1452"/>
      <c r="M137" s="1452"/>
      <c r="N137" s="1452"/>
      <c r="O137" s="1452"/>
      <c r="P137" s="1525"/>
      <c r="R137" s="1462"/>
      <c r="S137" s="1462"/>
      <c r="T137" s="1462"/>
      <c r="U137" s="1462"/>
      <c r="V137" s="1462"/>
      <c r="W137" s="1462"/>
      <c r="X137" s="1462"/>
      <c r="Y137" s="1462"/>
    </row>
    <row r="138" spans="1:25" x14ac:dyDescent="0.3">
      <c r="A138" s="2294"/>
      <c r="B138" s="2294"/>
      <c r="C138" s="2294"/>
      <c r="D138" s="2294"/>
      <c r="E138" s="1461"/>
      <c r="I138" s="1452"/>
      <c r="J138" s="1452"/>
      <c r="K138" s="1452"/>
      <c r="L138" s="1452"/>
      <c r="M138" s="1452"/>
      <c r="N138" s="1452"/>
      <c r="O138" s="1452"/>
      <c r="P138" s="1525"/>
      <c r="R138" s="1462"/>
      <c r="S138" s="1462"/>
      <c r="T138" s="1462"/>
      <c r="U138" s="1462"/>
      <c r="V138" s="1462"/>
      <c r="W138" s="1462"/>
      <c r="X138" s="1462"/>
      <c r="Y138" s="1462"/>
    </row>
    <row r="139" spans="1:25" x14ac:dyDescent="0.3">
      <c r="A139" s="2294"/>
      <c r="B139" s="2294"/>
      <c r="C139" s="2294"/>
      <c r="D139" s="2294"/>
      <c r="E139" s="1461"/>
      <c r="I139" s="1452"/>
      <c r="J139" s="1452"/>
      <c r="K139" s="1452"/>
      <c r="L139" s="1452"/>
      <c r="M139" s="1452"/>
      <c r="N139" s="1452"/>
      <c r="O139" s="1452"/>
      <c r="P139" s="1525"/>
      <c r="R139" s="1462"/>
      <c r="S139" s="1462"/>
      <c r="T139" s="1462"/>
      <c r="U139" s="1462"/>
      <c r="V139" s="1462"/>
      <c r="W139" s="1462"/>
      <c r="X139" s="1462"/>
      <c r="Y139" s="1462"/>
    </row>
    <row r="140" spans="1:25" x14ac:dyDescent="0.3">
      <c r="A140" s="2294"/>
      <c r="B140" s="2294"/>
      <c r="C140" s="2294"/>
      <c r="D140" s="2294"/>
      <c r="E140" s="1461"/>
      <c r="I140" s="1452"/>
      <c r="J140" s="1452"/>
      <c r="K140" s="1452"/>
      <c r="L140" s="1452"/>
      <c r="M140" s="1452"/>
      <c r="N140" s="1452"/>
      <c r="O140" s="1452"/>
      <c r="P140" s="1525"/>
      <c r="R140" s="1462"/>
      <c r="S140" s="1462"/>
      <c r="T140" s="1462"/>
      <c r="U140" s="1462"/>
      <c r="V140" s="1462"/>
      <c r="W140" s="1462"/>
      <c r="X140" s="1462"/>
      <c r="Y140" s="1462"/>
    </row>
    <row r="141" spans="1:25" x14ac:dyDescent="0.3">
      <c r="A141" s="2294"/>
      <c r="B141" s="2294"/>
      <c r="C141" s="2294"/>
      <c r="D141" s="2294"/>
      <c r="E141" s="1461"/>
      <c r="I141" s="1452"/>
      <c r="J141" s="1452"/>
      <c r="K141" s="1452"/>
      <c r="L141" s="1452"/>
      <c r="M141" s="1452"/>
      <c r="N141" s="1452"/>
      <c r="O141" s="1452"/>
      <c r="P141" s="1525"/>
      <c r="R141" s="1462"/>
      <c r="S141" s="1462"/>
      <c r="T141" s="1462"/>
      <c r="U141" s="1462"/>
      <c r="V141" s="1462"/>
      <c r="W141" s="1462"/>
      <c r="X141" s="1462"/>
      <c r="Y141" s="1462"/>
    </row>
    <row r="142" spans="1:25" x14ac:dyDescent="0.3">
      <c r="A142" s="2294"/>
      <c r="B142" s="2294"/>
      <c r="C142" s="2294"/>
      <c r="D142" s="2294"/>
      <c r="E142" s="1461"/>
      <c r="I142" s="1452"/>
      <c r="J142" s="1452"/>
      <c r="K142" s="1452"/>
      <c r="L142" s="1452"/>
      <c r="M142" s="1452"/>
      <c r="N142" s="1452"/>
      <c r="O142" s="1452"/>
      <c r="P142" s="1525"/>
      <c r="R142" s="1462"/>
      <c r="S142" s="1462"/>
      <c r="T142" s="1462"/>
      <c r="U142" s="1462"/>
      <c r="V142" s="1462"/>
      <c r="W142" s="1462"/>
      <c r="X142" s="1462"/>
      <c r="Y142" s="1462"/>
    </row>
    <row r="143" spans="1:25" x14ac:dyDescent="0.3">
      <c r="A143" s="2294"/>
      <c r="B143" s="2294"/>
      <c r="C143" s="2294"/>
      <c r="D143" s="2294"/>
      <c r="E143" s="1461"/>
      <c r="I143" s="1452"/>
      <c r="J143" s="1452"/>
      <c r="K143" s="1452"/>
      <c r="L143" s="1452"/>
      <c r="M143" s="1452"/>
      <c r="N143" s="1452"/>
      <c r="O143" s="1452"/>
      <c r="P143" s="1525"/>
      <c r="R143" s="1462"/>
      <c r="S143" s="1462"/>
      <c r="T143" s="1462"/>
      <c r="U143" s="1462"/>
      <c r="V143" s="1462"/>
      <c r="W143" s="1462"/>
      <c r="X143" s="1462"/>
      <c r="Y143" s="1462"/>
    </row>
    <row r="144" spans="1:25" x14ac:dyDescent="0.3">
      <c r="A144" s="2294"/>
      <c r="B144" s="2294"/>
      <c r="C144" s="2294"/>
      <c r="D144" s="2294"/>
      <c r="E144" s="1461"/>
      <c r="I144" s="1452"/>
      <c r="J144" s="1452"/>
      <c r="K144" s="1452"/>
      <c r="L144" s="1452"/>
      <c r="M144" s="1452"/>
      <c r="N144" s="1452"/>
      <c r="O144" s="1452"/>
      <c r="P144" s="1525"/>
      <c r="R144" s="1462"/>
      <c r="S144" s="1462"/>
      <c r="T144" s="1462"/>
      <c r="U144" s="1462"/>
      <c r="V144" s="1462"/>
      <c r="W144" s="1462"/>
      <c r="X144" s="1462"/>
      <c r="Y144" s="1462"/>
    </row>
    <row r="145" spans="1:25" x14ac:dyDescent="0.3">
      <c r="A145" s="2294"/>
      <c r="B145" s="2294"/>
      <c r="C145" s="2294"/>
      <c r="D145" s="2294"/>
      <c r="E145" s="1461"/>
      <c r="I145" s="1452"/>
      <c r="J145" s="1452"/>
      <c r="K145" s="1452"/>
      <c r="L145" s="1452"/>
      <c r="M145" s="1452"/>
      <c r="N145" s="1452"/>
      <c r="O145" s="1452"/>
      <c r="P145" s="1525"/>
      <c r="R145" s="1462"/>
      <c r="S145" s="1462"/>
      <c r="T145" s="1462"/>
      <c r="U145" s="1462"/>
      <c r="V145" s="1462"/>
      <c r="W145" s="1462"/>
      <c r="X145" s="1462"/>
      <c r="Y145" s="1462"/>
    </row>
    <row r="146" spans="1:25" x14ac:dyDescent="0.3">
      <c r="A146" s="2294"/>
      <c r="B146" s="2294"/>
      <c r="C146" s="2294"/>
      <c r="D146" s="2294"/>
      <c r="E146" s="1461"/>
      <c r="I146" s="1452"/>
      <c r="J146" s="1452"/>
      <c r="K146" s="1452"/>
      <c r="L146" s="1452"/>
      <c r="M146" s="1452"/>
      <c r="N146" s="1452"/>
      <c r="O146" s="1452"/>
      <c r="P146" s="1525"/>
      <c r="R146" s="1462"/>
      <c r="S146" s="1462"/>
      <c r="T146" s="1462"/>
      <c r="U146" s="1462"/>
      <c r="V146" s="1462"/>
      <c r="W146" s="1462"/>
      <c r="X146" s="1462"/>
      <c r="Y146" s="1462"/>
    </row>
    <row r="147" spans="1:25" x14ac:dyDescent="0.3">
      <c r="A147" s="2294"/>
      <c r="B147" s="2294"/>
      <c r="C147" s="2294"/>
      <c r="D147" s="2294"/>
      <c r="E147" s="1461"/>
      <c r="I147" s="1452"/>
      <c r="J147" s="1452"/>
      <c r="K147" s="1452"/>
      <c r="L147" s="1452"/>
      <c r="M147" s="1452"/>
      <c r="N147" s="1452"/>
      <c r="O147" s="1452"/>
      <c r="P147" s="1525"/>
      <c r="R147" s="1462"/>
      <c r="S147" s="1462"/>
      <c r="T147" s="1462"/>
      <c r="U147" s="1462"/>
      <c r="V147" s="1462"/>
      <c r="W147" s="1462"/>
      <c r="X147" s="1462"/>
      <c r="Y147" s="1462"/>
    </row>
    <row r="148" spans="1:25" x14ac:dyDescent="0.3">
      <c r="A148" s="2294"/>
      <c r="B148" s="2294"/>
      <c r="C148" s="2294"/>
      <c r="D148" s="2294"/>
      <c r="E148" s="1461"/>
      <c r="I148" s="1452"/>
      <c r="J148" s="1452"/>
      <c r="K148" s="1452"/>
      <c r="L148" s="1452"/>
      <c r="M148" s="1452"/>
      <c r="N148" s="1452"/>
      <c r="O148" s="1452"/>
      <c r="P148" s="1525"/>
      <c r="R148" s="1462"/>
      <c r="S148" s="1462"/>
      <c r="T148" s="1462"/>
      <c r="U148" s="1462"/>
      <c r="V148" s="1462"/>
      <c r="W148" s="1462"/>
      <c r="X148" s="1462"/>
      <c r="Y148" s="1462"/>
    </row>
    <row r="149" spans="1:25" x14ac:dyDescent="0.3">
      <c r="A149" s="2294"/>
      <c r="B149" s="2294"/>
      <c r="C149" s="2294"/>
      <c r="D149" s="2294"/>
      <c r="E149" s="1461"/>
      <c r="I149" s="1452"/>
      <c r="J149" s="1452"/>
      <c r="K149" s="1452"/>
      <c r="L149" s="1452"/>
      <c r="M149" s="1452"/>
      <c r="N149" s="1452"/>
      <c r="O149" s="1452"/>
      <c r="P149" s="1525"/>
      <c r="R149" s="1462"/>
      <c r="S149" s="1462"/>
      <c r="T149" s="1462"/>
      <c r="U149" s="1462"/>
      <c r="V149" s="1462"/>
      <c r="W149" s="1462"/>
      <c r="X149" s="1462"/>
      <c r="Y149" s="1462"/>
    </row>
    <row r="150" spans="1:25" x14ac:dyDescent="0.3">
      <c r="A150" s="2294"/>
      <c r="B150" s="2294"/>
      <c r="C150" s="2294"/>
      <c r="D150" s="2294"/>
      <c r="E150" s="1461"/>
      <c r="I150" s="1452"/>
      <c r="J150" s="1452"/>
      <c r="K150" s="1452"/>
      <c r="L150" s="1452"/>
      <c r="M150" s="1452"/>
      <c r="N150" s="1452"/>
      <c r="O150" s="1452"/>
      <c r="P150" s="1525"/>
      <c r="R150" s="1462"/>
      <c r="S150" s="1462"/>
      <c r="T150" s="1462"/>
      <c r="U150" s="1462"/>
      <c r="V150" s="1462"/>
      <c r="W150" s="1462"/>
      <c r="X150" s="1462"/>
      <c r="Y150" s="1462"/>
    </row>
    <row r="151" spans="1:25" x14ac:dyDescent="0.3">
      <c r="A151" s="2294"/>
      <c r="B151" s="2294"/>
      <c r="C151" s="2294"/>
      <c r="D151" s="2294"/>
      <c r="E151" s="1461"/>
      <c r="I151" s="1452"/>
      <c r="J151" s="1452"/>
      <c r="K151" s="1452"/>
      <c r="L151" s="1452"/>
      <c r="M151" s="1452"/>
      <c r="N151" s="1452"/>
      <c r="O151" s="1452"/>
      <c r="P151" s="1525"/>
      <c r="R151" s="1462"/>
      <c r="S151" s="1462"/>
      <c r="T151" s="1462"/>
      <c r="U151" s="1462"/>
      <c r="V151" s="1462"/>
      <c r="W151" s="1462"/>
      <c r="X151" s="1462"/>
      <c r="Y151" s="1462"/>
    </row>
    <row r="152" spans="1:25" x14ac:dyDescent="0.3">
      <c r="A152" s="2294"/>
      <c r="B152" s="2294"/>
      <c r="C152" s="2294"/>
      <c r="D152" s="2294"/>
      <c r="E152" s="1461"/>
      <c r="I152" s="1452"/>
      <c r="J152" s="1452"/>
      <c r="K152" s="1452"/>
      <c r="L152" s="1452"/>
      <c r="M152" s="1452"/>
      <c r="N152" s="1452"/>
      <c r="O152" s="1452"/>
      <c r="P152" s="1525"/>
      <c r="R152" s="1462"/>
      <c r="S152" s="1462"/>
      <c r="T152" s="1462"/>
      <c r="U152" s="1462"/>
      <c r="V152" s="1462"/>
      <c r="W152" s="1462"/>
      <c r="X152" s="1462"/>
      <c r="Y152" s="1462"/>
    </row>
    <row r="153" spans="1:25" x14ac:dyDescent="0.3">
      <c r="A153" s="2294"/>
      <c r="B153" s="2294"/>
      <c r="C153" s="2294"/>
      <c r="D153" s="2294"/>
      <c r="E153" s="1461"/>
      <c r="I153" s="1452"/>
      <c r="J153" s="1452"/>
      <c r="K153" s="1452"/>
      <c r="L153" s="1452"/>
      <c r="M153" s="1452"/>
      <c r="N153" s="1452"/>
      <c r="O153" s="1452"/>
      <c r="P153" s="1525"/>
      <c r="R153" s="1462"/>
      <c r="S153" s="1462"/>
      <c r="T153" s="1462"/>
      <c r="U153" s="1462"/>
      <c r="V153" s="1462"/>
      <c r="W153" s="1462"/>
      <c r="X153" s="1462"/>
      <c r="Y153" s="1462"/>
    </row>
    <row r="154" spans="1:25" x14ac:dyDescent="0.3">
      <c r="A154" s="2294"/>
      <c r="B154" s="2294"/>
      <c r="C154" s="2294"/>
      <c r="D154" s="2294"/>
      <c r="E154" s="1461"/>
      <c r="I154" s="1452"/>
      <c r="J154" s="1452"/>
      <c r="K154" s="1452"/>
      <c r="L154" s="1452"/>
      <c r="M154" s="1452"/>
      <c r="N154" s="1452"/>
      <c r="O154" s="1452"/>
      <c r="P154" s="1525"/>
      <c r="R154" s="1462"/>
      <c r="S154" s="1462"/>
      <c r="T154" s="1462"/>
      <c r="U154" s="1462"/>
      <c r="V154" s="1462"/>
      <c r="W154" s="1462"/>
      <c r="X154" s="1462"/>
      <c r="Y154" s="1462"/>
    </row>
    <row r="155" spans="1:25" x14ac:dyDescent="0.3">
      <c r="A155" s="2294"/>
      <c r="B155" s="2294"/>
      <c r="C155" s="2294"/>
      <c r="D155" s="2294"/>
      <c r="E155" s="1461"/>
      <c r="I155" s="1452"/>
      <c r="J155" s="1452"/>
      <c r="K155" s="1452"/>
      <c r="L155" s="1452"/>
      <c r="M155" s="1452"/>
      <c r="N155" s="1452"/>
      <c r="O155" s="1452"/>
      <c r="P155" s="1525"/>
      <c r="R155" s="1462"/>
      <c r="S155" s="1462"/>
      <c r="T155" s="1462"/>
      <c r="U155" s="1462"/>
      <c r="V155" s="1462"/>
      <c r="W155" s="1462"/>
      <c r="X155" s="1462"/>
      <c r="Y155" s="1462"/>
    </row>
    <row r="156" spans="1:25" x14ac:dyDescent="0.3">
      <c r="A156" s="2294"/>
      <c r="B156" s="2294"/>
      <c r="C156" s="2294"/>
      <c r="D156" s="2294"/>
      <c r="E156" s="1461"/>
      <c r="I156" s="1452"/>
      <c r="J156" s="1452"/>
      <c r="K156" s="1452"/>
      <c r="L156" s="1452"/>
      <c r="M156" s="1452"/>
      <c r="N156" s="1452"/>
      <c r="O156" s="1452"/>
      <c r="P156" s="1525"/>
      <c r="R156" s="1462"/>
      <c r="S156" s="1462"/>
      <c r="T156" s="1462"/>
      <c r="U156" s="1462"/>
      <c r="V156" s="1462"/>
      <c r="W156" s="1462"/>
      <c r="X156" s="1462"/>
      <c r="Y156" s="1462"/>
    </row>
    <row r="157" spans="1:25" x14ac:dyDescent="0.3">
      <c r="A157" s="2294"/>
      <c r="B157" s="2294"/>
      <c r="C157" s="2294"/>
      <c r="D157" s="2294"/>
      <c r="E157" s="1461"/>
      <c r="I157" s="1452"/>
      <c r="J157" s="1452"/>
      <c r="K157" s="1452"/>
      <c r="L157" s="1452"/>
      <c r="M157" s="1452"/>
      <c r="N157" s="1452"/>
      <c r="O157" s="1452"/>
      <c r="P157" s="1525"/>
      <c r="R157" s="1462"/>
      <c r="S157" s="1462"/>
      <c r="T157" s="1462"/>
      <c r="U157" s="1462"/>
      <c r="V157" s="1462"/>
      <c r="W157" s="1462"/>
      <c r="X157" s="1462"/>
      <c r="Y157" s="1462"/>
    </row>
    <row r="158" spans="1:25" x14ac:dyDescent="0.3">
      <c r="A158" s="2294"/>
      <c r="B158" s="2294"/>
      <c r="C158" s="2294"/>
      <c r="D158" s="2294"/>
      <c r="E158" s="1461"/>
      <c r="I158" s="1452"/>
      <c r="J158" s="1452"/>
      <c r="K158" s="1452"/>
      <c r="L158" s="1452"/>
      <c r="M158" s="1452"/>
      <c r="N158" s="1452"/>
      <c r="O158" s="1452"/>
      <c r="P158" s="1525"/>
      <c r="R158" s="1462"/>
      <c r="S158" s="1462"/>
      <c r="T158" s="1462"/>
      <c r="U158" s="1462"/>
      <c r="V158" s="1462"/>
      <c r="W158" s="1462"/>
      <c r="X158" s="1462"/>
      <c r="Y158" s="1462"/>
    </row>
    <row r="159" spans="1:25" x14ac:dyDescent="0.3">
      <c r="A159" s="2294"/>
      <c r="B159" s="2294"/>
      <c r="C159" s="2294"/>
      <c r="D159" s="2294"/>
      <c r="E159" s="1461"/>
      <c r="I159" s="1452"/>
      <c r="J159" s="1452"/>
      <c r="K159" s="1452"/>
      <c r="L159" s="1452"/>
      <c r="M159" s="1452"/>
      <c r="N159" s="1452"/>
      <c r="O159" s="1452"/>
      <c r="P159" s="1525"/>
      <c r="R159" s="1462"/>
      <c r="S159" s="1462"/>
      <c r="T159" s="1462"/>
      <c r="U159" s="1462"/>
      <c r="V159" s="1462"/>
      <c r="W159" s="1462"/>
      <c r="X159" s="1462"/>
      <c r="Y159" s="1462"/>
    </row>
    <row r="160" spans="1:25" x14ac:dyDescent="0.3">
      <c r="A160" s="2294"/>
      <c r="B160" s="2294"/>
      <c r="C160" s="2294"/>
      <c r="D160" s="2294"/>
      <c r="E160" s="1461"/>
      <c r="I160" s="1452"/>
      <c r="J160" s="1452"/>
      <c r="K160" s="1452"/>
      <c r="L160" s="1452"/>
      <c r="M160" s="1452"/>
      <c r="N160" s="1452"/>
      <c r="O160" s="1452"/>
      <c r="P160" s="1525"/>
      <c r="R160" s="1462"/>
      <c r="S160" s="1462"/>
      <c r="T160" s="1462"/>
      <c r="U160" s="1462"/>
      <c r="V160" s="1462"/>
      <c r="W160" s="1462"/>
      <c r="X160" s="1462"/>
      <c r="Y160" s="1462"/>
    </row>
    <row r="161" spans="1:25" x14ac:dyDescent="0.3">
      <c r="A161" s="2294"/>
      <c r="B161" s="2294"/>
      <c r="C161" s="2294"/>
      <c r="D161" s="2294"/>
      <c r="E161" s="1461"/>
      <c r="I161" s="1452"/>
      <c r="J161" s="1452"/>
      <c r="K161" s="1452"/>
      <c r="L161" s="1452"/>
      <c r="M161" s="1452"/>
      <c r="N161" s="1452"/>
      <c r="O161" s="1452"/>
      <c r="P161" s="1525"/>
      <c r="R161" s="1462"/>
      <c r="S161" s="1462"/>
      <c r="T161" s="1462"/>
      <c r="U161" s="1462"/>
      <c r="V161" s="1462"/>
      <c r="W161" s="1462"/>
      <c r="X161" s="1462"/>
      <c r="Y161" s="1462"/>
    </row>
    <row r="162" spans="1:25" x14ac:dyDescent="0.3">
      <c r="A162" s="2294"/>
      <c r="B162" s="2294"/>
      <c r="C162" s="2294"/>
      <c r="D162" s="2294"/>
      <c r="E162" s="1461"/>
      <c r="I162" s="1452"/>
      <c r="J162" s="1452"/>
      <c r="K162" s="1452"/>
      <c r="L162" s="1452"/>
      <c r="M162" s="1452"/>
      <c r="N162" s="1452"/>
      <c r="O162" s="1452"/>
      <c r="P162" s="1525"/>
      <c r="R162" s="1462"/>
      <c r="S162" s="1462"/>
      <c r="T162" s="1462"/>
      <c r="U162" s="1462"/>
      <c r="V162" s="1462"/>
      <c r="W162" s="1462"/>
      <c r="X162" s="1462"/>
      <c r="Y162" s="1462"/>
    </row>
    <row r="163" spans="1:25" x14ac:dyDescent="0.3">
      <c r="A163" s="2294"/>
      <c r="B163" s="2294"/>
      <c r="C163" s="2294"/>
      <c r="D163" s="2294"/>
      <c r="E163" s="1461"/>
      <c r="I163" s="1452"/>
      <c r="J163" s="1452"/>
      <c r="K163" s="1452"/>
      <c r="L163" s="1452"/>
      <c r="M163" s="1452"/>
      <c r="N163" s="1452"/>
      <c r="O163" s="1452"/>
      <c r="P163" s="1525"/>
      <c r="R163" s="1462"/>
      <c r="S163" s="1462"/>
      <c r="T163" s="1462"/>
      <c r="U163" s="1462"/>
      <c r="V163" s="1462"/>
      <c r="W163" s="1462"/>
      <c r="X163" s="1462"/>
      <c r="Y163" s="1462"/>
    </row>
    <row r="164" spans="1:25" x14ac:dyDescent="0.3">
      <c r="A164" s="2294"/>
      <c r="B164" s="2294"/>
      <c r="C164" s="2294"/>
      <c r="D164" s="2294"/>
      <c r="E164" s="1461"/>
      <c r="I164" s="1452"/>
      <c r="J164" s="1452"/>
      <c r="K164" s="1452"/>
      <c r="L164" s="1452"/>
      <c r="M164" s="1452"/>
      <c r="N164" s="1452"/>
      <c r="O164" s="1452"/>
      <c r="P164" s="1525"/>
      <c r="R164" s="1462"/>
      <c r="S164" s="1462"/>
      <c r="T164" s="1462"/>
      <c r="U164" s="1462"/>
      <c r="V164" s="1462"/>
      <c r="W164" s="1462"/>
      <c r="X164" s="1462"/>
      <c r="Y164" s="1462"/>
    </row>
    <row r="165" spans="1:25" x14ac:dyDescent="0.3">
      <c r="A165" s="2294"/>
      <c r="B165" s="2294"/>
      <c r="C165" s="2294"/>
      <c r="D165" s="2294"/>
      <c r="E165" s="1461"/>
      <c r="I165" s="1452"/>
      <c r="J165" s="1452"/>
      <c r="K165" s="1452"/>
      <c r="L165" s="1452"/>
      <c r="M165" s="1452"/>
      <c r="N165" s="1452"/>
      <c r="O165" s="1452"/>
      <c r="P165" s="1525"/>
      <c r="R165" s="1462"/>
      <c r="S165" s="1462"/>
      <c r="T165" s="1462"/>
      <c r="U165" s="1462"/>
      <c r="V165" s="1462"/>
      <c r="W165" s="1462"/>
      <c r="X165" s="1462"/>
      <c r="Y165" s="1462"/>
    </row>
    <row r="166" spans="1:25" x14ac:dyDescent="0.3">
      <c r="A166" s="2294"/>
      <c r="B166" s="2294"/>
      <c r="C166" s="2294"/>
      <c r="D166" s="2294"/>
      <c r="E166" s="1461"/>
      <c r="I166" s="1452"/>
      <c r="J166" s="1452"/>
      <c r="K166" s="1452"/>
      <c r="L166" s="1452"/>
      <c r="M166" s="1452"/>
      <c r="N166" s="1452"/>
      <c r="O166" s="1452"/>
      <c r="P166" s="1525"/>
      <c r="R166" s="1462"/>
      <c r="S166" s="1462"/>
      <c r="T166" s="1462"/>
      <c r="U166" s="1462"/>
      <c r="V166" s="1462"/>
      <c r="W166" s="1462"/>
      <c r="X166" s="1462"/>
      <c r="Y166" s="1462"/>
    </row>
    <row r="167" spans="1:25" x14ac:dyDescent="0.3">
      <c r="A167" s="2294"/>
      <c r="B167" s="2294"/>
      <c r="C167" s="2294"/>
      <c r="D167" s="2294"/>
      <c r="E167" s="1461"/>
      <c r="I167" s="1452"/>
      <c r="J167" s="1452"/>
      <c r="K167" s="1452"/>
      <c r="L167" s="1452"/>
      <c r="M167" s="1452"/>
      <c r="N167" s="1452"/>
      <c r="O167" s="1452"/>
      <c r="P167" s="1525"/>
      <c r="R167" s="1462"/>
      <c r="S167" s="1462"/>
      <c r="T167" s="1462"/>
      <c r="U167" s="1462"/>
      <c r="V167" s="1462"/>
      <c r="W167" s="1462"/>
      <c r="X167" s="1462"/>
      <c r="Y167" s="1462"/>
    </row>
    <row r="168" spans="1:25" x14ac:dyDescent="0.3">
      <c r="A168" s="2294"/>
      <c r="B168" s="2294"/>
      <c r="C168" s="2294"/>
      <c r="D168" s="2294"/>
      <c r="E168" s="1461"/>
      <c r="I168" s="1452"/>
      <c r="J168" s="1452"/>
      <c r="K168" s="1452"/>
      <c r="L168" s="1452"/>
      <c r="M168" s="1452"/>
      <c r="N168" s="1452"/>
      <c r="O168" s="1452"/>
      <c r="P168" s="1525"/>
      <c r="R168" s="1462"/>
      <c r="S168" s="1462"/>
      <c r="T168" s="1462"/>
      <c r="U168" s="1462"/>
      <c r="V168" s="1462"/>
      <c r="W168" s="1462"/>
      <c r="X168" s="1462"/>
      <c r="Y168" s="1462"/>
    </row>
    <row r="169" spans="1:25" x14ac:dyDescent="0.3">
      <c r="A169" s="2294"/>
      <c r="B169" s="2294"/>
      <c r="C169" s="2294"/>
      <c r="D169" s="2294"/>
      <c r="E169" s="1461"/>
      <c r="I169" s="1452"/>
      <c r="J169" s="1452"/>
      <c r="K169" s="1452"/>
      <c r="L169" s="1452"/>
      <c r="M169" s="1452"/>
      <c r="N169" s="1452"/>
      <c r="O169" s="1452"/>
      <c r="P169" s="1525"/>
      <c r="R169" s="1462"/>
      <c r="S169" s="1462"/>
      <c r="T169" s="1462"/>
      <c r="U169" s="1462"/>
      <c r="V169" s="1462"/>
      <c r="W169" s="1462"/>
      <c r="X169" s="1462"/>
      <c r="Y169" s="1462"/>
    </row>
    <row r="170" spans="1:25" x14ac:dyDescent="0.3">
      <c r="A170" s="2294"/>
      <c r="B170" s="2294"/>
      <c r="C170" s="2294"/>
      <c r="D170" s="2294"/>
      <c r="E170" s="1461"/>
      <c r="I170" s="1452"/>
      <c r="J170" s="1452"/>
      <c r="K170" s="1452"/>
      <c r="L170" s="1452"/>
      <c r="M170" s="1452"/>
      <c r="N170" s="1452"/>
      <c r="O170" s="1452"/>
      <c r="P170" s="1525"/>
      <c r="R170" s="1462"/>
      <c r="S170" s="1462"/>
      <c r="T170" s="1462"/>
      <c r="U170" s="1462"/>
      <c r="V170" s="1462"/>
      <c r="W170" s="1462"/>
      <c r="X170" s="1462"/>
      <c r="Y170" s="1462"/>
    </row>
    <row r="171" spans="1:25" x14ac:dyDescent="0.3">
      <c r="A171" s="2294"/>
      <c r="B171" s="2294"/>
      <c r="C171" s="2294"/>
      <c r="D171" s="2294"/>
      <c r="E171" s="1461"/>
      <c r="I171" s="1452"/>
      <c r="J171" s="1452"/>
      <c r="K171" s="1452"/>
      <c r="L171" s="1452"/>
      <c r="M171" s="1452"/>
      <c r="N171" s="1452"/>
      <c r="O171" s="1452"/>
      <c r="P171" s="1525"/>
      <c r="R171" s="1462"/>
      <c r="S171" s="1462"/>
      <c r="T171" s="1462"/>
      <c r="U171" s="1462"/>
      <c r="V171" s="1462"/>
      <c r="W171" s="1462"/>
      <c r="X171" s="1462"/>
      <c r="Y171" s="1462"/>
    </row>
    <row r="172" spans="1:25" x14ac:dyDescent="0.3">
      <c r="A172" s="2294"/>
      <c r="B172" s="2294"/>
      <c r="C172" s="2294"/>
      <c r="D172" s="2294"/>
      <c r="E172" s="1461"/>
      <c r="I172" s="1452"/>
      <c r="J172" s="1452"/>
      <c r="K172" s="1452"/>
      <c r="L172" s="1452"/>
      <c r="M172" s="1452"/>
      <c r="N172" s="1452"/>
      <c r="O172" s="1452"/>
      <c r="P172" s="1525"/>
      <c r="R172" s="1462"/>
      <c r="S172" s="1462"/>
      <c r="T172" s="1462"/>
      <c r="U172" s="1462"/>
      <c r="V172" s="1462"/>
      <c r="W172" s="1462"/>
      <c r="X172" s="1462"/>
      <c r="Y172" s="1462"/>
    </row>
    <row r="173" spans="1:25" x14ac:dyDescent="0.3">
      <c r="A173" s="2294"/>
      <c r="B173" s="2294"/>
      <c r="C173" s="2294"/>
      <c r="D173" s="2294"/>
      <c r="E173" s="1461"/>
      <c r="I173" s="1452"/>
      <c r="J173" s="1452"/>
      <c r="K173" s="1452"/>
      <c r="L173" s="1452"/>
      <c r="M173" s="1452"/>
      <c r="N173" s="1452"/>
      <c r="O173" s="1452"/>
      <c r="P173" s="1525"/>
      <c r="R173" s="1462"/>
      <c r="S173" s="1462"/>
      <c r="T173" s="1462"/>
      <c r="U173" s="1462"/>
      <c r="V173" s="1462"/>
      <c r="W173" s="1462"/>
      <c r="X173" s="1462"/>
      <c r="Y173" s="1462"/>
    </row>
    <row r="174" spans="1:25" x14ac:dyDescent="0.3">
      <c r="A174" s="2294"/>
      <c r="B174" s="2294"/>
      <c r="C174" s="2294"/>
      <c r="D174" s="2294"/>
      <c r="E174" s="1461"/>
      <c r="I174" s="1452"/>
      <c r="J174" s="1452"/>
      <c r="K174" s="1452"/>
      <c r="L174" s="1452"/>
      <c r="M174" s="1452"/>
      <c r="N174" s="1452"/>
      <c r="O174" s="1452"/>
      <c r="P174" s="1525"/>
      <c r="R174" s="1462"/>
      <c r="S174" s="1462"/>
      <c r="T174" s="1462"/>
      <c r="U174" s="1462"/>
      <c r="V174" s="1462"/>
      <c r="W174" s="1462"/>
      <c r="X174" s="1462"/>
      <c r="Y174" s="1462"/>
    </row>
    <row r="175" spans="1:25" x14ac:dyDescent="0.3">
      <c r="A175" s="2294"/>
      <c r="B175" s="2294"/>
      <c r="C175" s="2294"/>
      <c r="D175" s="2294"/>
      <c r="E175" s="1461"/>
      <c r="I175" s="1452"/>
      <c r="J175" s="1452"/>
      <c r="K175" s="1452"/>
      <c r="L175" s="1452"/>
      <c r="M175" s="1452"/>
      <c r="N175" s="1452"/>
      <c r="O175" s="1452"/>
      <c r="P175" s="1525"/>
      <c r="R175" s="1462"/>
      <c r="S175" s="1462"/>
      <c r="T175" s="1462"/>
      <c r="U175" s="1462"/>
      <c r="V175" s="1462"/>
      <c r="W175" s="1462"/>
      <c r="X175" s="1462"/>
      <c r="Y175" s="1462"/>
    </row>
    <row r="176" spans="1:25" x14ac:dyDescent="0.3">
      <c r="A176" s="2294"/>
      <c r="B176" s="2294"/>
      <c r="C176" s="2294"/>
      <c r="D176" s="2294"/>
      <c r="E176" s="1461"/>
      <c r="I176" s="1452"/>
      <c r="J176" s="1452"/>
      <c r="K176" s="1452"/>
      <c r="L176" s="1452"/>
      <c r="M176" s="1452"/>
      <c r="N176" s="1452"/>
      <c r="O176" s="1452"/>
      <c r="P176" s="1525"/>
      <c r="R176" s="1462"/>
      <c r="S176" s="1462"/>
      <c r="T176" s="1462"/>
      <c r="U176" s="1462"/>
      <c r="V176" s="1462"/>
      <c r="W176" s="1462"/>
      <c r="X176" s="1462"/>
      <c r="Y176" s="1462"/>
    </row>
    <row r="177" spans="1:25" x14ac:dyDescent="0.3">
      <c r="A177" s="2294"/>
      <c r="B177" s="2294"/>
      <c r="C177" s="2294"/>
      <c r="D177" s="2294"/>
      <c r="E177" s="1461"/>
      <c r="I177" s="1452"/>
      <c r="J177" s="1452"/>
      <c r="K177" s="1452"/>
      <c r="L177" s="1452"/>
      <c r="M177" s="1452"/>
      <c r="N177" s="1452"/>
      <c r="O177" s="1452"/>
      <c r="P177" s="1525"/>
      <c r="R177" s="1462"/>
      <c r="S177" s="1462"/>
      <c r="T177" s="1462"/>
      <c r="U177" s="1462"/>
      <c r="V177" s="1462"/>
      <c r="W177" s="1462"/>
      <c r="X177" s="1462"/>
      <c r="Y177" s="1462"/>
    </row>
    <row r="178" spans="1:25" x14ac:dyDescent="0.3">
      <c r="A178" s="2294"/>
      <c r="B178" s="2294"/>
      <c r="C178" s="2294"/>
      <c r="D178" s="2294"/>
      <c r="E178" s="1461"/>
      <c r="I178" s="1452"/>
      <c r="J178" s="1452"/>
      <c r="K178" s="1452"/>
      <c r="L178" s="1452"/>
      <c r="M178" s="1452"/>
      <c r="N178" s="1452"/>
      <c r="O178" s="1452"/>
      <c r="P178" s="1525"/>
      <c r="R178" s="1462"/>
      <c r="S178" s="1462"/>
      <c r="T178" s="1462"/>
      <c r="U178" s="1462"/>
      <c r="V178" s="1462"/>
      <c r="W178" s="1462"/>
      <c r="X178" s="1462"/>
      <c r="Y178" s="1462"/>
    </row>
    <row r="179" spans="1:25" x14ac:dyDescent="0.3">
      <c r="A179" s="2294"/>
      <c r="B179" s="2294"/>
      <c r="C179" s="2294"/>
      <c r="D179" s="2294"/>
      <c r="E179" s="1461"/>
      <c r="I179" s="1452"/>
      <c r="J179" s="1452"/>
      <c r="K179" s="1452"/>
      <c r="L179" s="1452"/>
      <c r="M179" s="1452"/>
      <c r="N179" s="1452"/>
      <c r="O179" s="1452"/>
      <c r="P179" s="1525"/>
      <c r="R179" s="1462"/>
      <c r="S179" s="1462"/>
      <c r="T179" s="1462"/>
      <c r="U179" s="1462"/>
      <c r="V179" s="1462"/>
      <c r="W179" s="1462"/>
      <c r="X179" s="1462"/>
      <c r="Y179" s="1462"/>
    </row>
    <row r="180" spans="1:25" x14ac:dyDescent="0.3">
      <c r="A180" s="2294"/>
      <c r="B180" s="2294"/>
      <c r="C180" s="2294"/>
      <c r="D180" s="2294"/>
      <c r="E180" s="1461"/>
      <c r="I180" s="1452"/>
      <c r="J180" s="1452"/>
      <c r="K180" s="1452"/>
      <c r="L180" s="1452"/>
      <c r="M180" s="1452"/>
      <c r="N180" s="1452"/>
      <c r="O180" s="1452"/>
      <c r="P180" s="1525"/>
      <c r="R180" s="1462"/>
      <c r="S180" s="1462"/>
      <c r="T180" s="1462"/>
      <c r="U180" s="1462"/>
      <c r="V180" s="1462"/>
      <c r="W180" s="1462"/>
      <c r="X180" s="1462"/>
      <c r="Y180" s="1462"/>
    </row>
    <row r="181" spans="1:25" x14ac:dyDescent="0.3">
      <c r="A181" s="2294"/>
      <c r="B181" s="2294"/>
      <c r="C181" s="2294"/>
      <c r="D181" s="2294"/>
      <c r="E181" s="1461"/>
      <c r="I181" s="1452"/>
      <c r="J181" s="1452"/>
      <c r="K181" s="1452"/>
      <c r="L181" s="1452"/>
      <c r="M181" s="1452"/>
      <c r="N181" s="1452"/>
      <c r="O181" s="1452"/>
      <c r="P181" s="1525"/>
      <c r="R181" s="1462"/>
      <c r="S181" s="1462"/>
      <c r="T181" s="1462"/>
      <c r="U181" s="1462"/>
      <c r="V181" s="1462"/>
      <c r="W181" s="1462"/>
      <c r="X181" s="1462"/>
      <c r="Y181" s="1462"/>
    </row>
    <row r="182" spans="1:25" x14ac:dyDescent="0.3">
      <c r="A182" s="2294"/>
      <c r="B182" s="2294"/>
      <c r="C182" s="2294"/>
      <c r="D182" s="2294"/>
      <c r="E182" s="1461"/>
      <c r="I182" s="1452"/>
      <c r="J182" s="1452"/>
      <c r="K182" s="1452"/>
      <c r="L182" s="1452"/>
      <c r="M182" s="1452"/>
      <c r="N182" s="1452"/>
      <c r="O182" s="1452"/>
      <c r="P182" s="1525"/>
      <c r="R182" s="1462"/>
      <c r="S182" s="1462"/>
      <c r="T182" s="1462"/>
      <c r="U182" s="1462"/>
      <c r="V182" s="1462"/>
      <c r="W182" s="1462"/>
      <c r="X182" s="1462"/>
      <c r="Y182" s="1462"/>
    </row>
    <row r="183" spans="1:25" x14ac:dyDescent="0.3">
      <c r="A183" s="2294"/>
      <c r="B183" s="2294"/>
      <c r="C183" s="2294"/>
      <c r="D183" s="2294"/>
      <c r="E183" s="1461"/>
      <c r="I183" s="1452"/>
      <c r="J183" s="1452"/>
      <c r="K183" s="1452"/>
      <c r="L183" s="1452"/>
      <c r="M183" s="1452"/>
      <c r="N183" s="1452"/>
      <c r="O183" s="1452"/>
      <c r="P183" s="1525"/>
      <c r="R183" s="1462"/>
      <c r="S183" s="1462"/>
      <c r="T183" s="1462"/>
      <c r="U183" s="1462"/>
      <c r="V183" s="1462"/>
      <c r="W183" s="1462"/>
      <c r="X183" s="1462"/>
      <c r="Y183" s="1462"/>
    </row>
    <row r="184" spans="1:25" x14ac:dyDescent="0.3">
      <c r="A184" s="2294"/>
      <c r="B184" s="2294"/>
      <c r="C184" s="2294"/>
      <c r="D184" s="2294"/>
      <c r="E184" s="1461"/>
      <c r="I184" s="1452"/>
      <c r="J184" s="1452"/>
      <c r="K184" s="1452"/>
      <c r="L184" s="1452"/>
      <c r="M184" s="1452"/>
      <c r="N184" s="1452"/>
      <c r="O184" s="1452"/>
      <c r="P184" s="1525"/>
      <c r="R184" s="1462"/>
      <c r="S184" s="1462"/>
      <c r="T184" s="1462"/>
      <c r="U184" s="1462"/>
      <c r="V184" s="1462"/>
      <c r="W184" s="1462"/>
      <c r="X184" s="1462"/>
      <c r="Y184" s="1462"/>
    </row>
    <row r="185" spans="1:25" x14ac:dyDescent="0.3">
      <c r="A185" s="2294"/>
      <c r="B185" s="2294"/>
      <c r="C185" s="2294"/>
      <c r="D185" s="2294"/>
      <c r="E185" s="1461"/>
      <c r="I185" s="1452"/>
      <c r="J185" s="1452"/>
      <c r="K185" s="1452"/>
      <c r="L185" s="1452"/>
      <c r="M185" s="1452"/>
      <c r="N185" s="1452"/>
      <c r="O185" s="1452"/>
      <c r="P185" s="1525"/>
      <c r="R185" s="1462"/>
      <c r="S185" s="1462"/>
      <c r="T185" s="1462"/>
      <c r="U185" s="1462"/>
      <c r="V185" s="1462"/>
      <c r="W185" s="1462"/>
      <c r="X185" s="1462"/>
      <c r="Y185" s="1462"/>
    </row>
    <row r="186" spans="1:25" x14ac:dyDescent="0.3">
      <c r="A186" s="2294"/>
      <c r="B186" s="2294"/>
      <c r="C186" s="2294"/>
      <c r="D186" s="2294"/>
      <c r="E186" s="1461"/>
      <c r="I186" s="1452"/>
      <c r="J186" s="1452"/>
      <c r="K186" s="1452"/>
      <c r="L186" s="1452"/>
      <c r="M186" s="1452"/>
      <c r="N186" s="1452"/>
      <c r="O186" s="1452"/>
      <c r="P186" s="1525"/>
      <c r="R186" s="1462"/>
      <c r="S186" s="1462"/>
      <c r="T186" s="1462"/>
      <c r="U186" s="1462"/>
      <c r="V186" s="1462"/>
      <c r="W186" s="1462"/>
      <c r="X186" s="1462"/>
      <c r="Y186" s="1462"/>
    </row>
    <row r="187" spans="1:25" x14ac:dyDescent="0.3">
      <c r="A187" s="2294"/>
      <c r="B187" s="2294"/>
      <c r="C187" s="2294"/>
      <c r="D187" s="2294"/>
      <c r="E187" s="1461"/>
      <c r="I187" s="1452"/>
      <c r="J187" s="1452"/>
      <c r="K187" s="1452"/>
      <c r="L187" s="1452"/>
      <c r="M187" s="1452"/>
      <c r="N187" s="1452"/>
      <c r="O187" s="1452"/>
      <c r="P187" s="1525"/>
      <c r="R187" s="1462"/>
      <c r="S187" s="1462"/>
      <c r="T187" s="1462"/>
      <c r="U187" s="1462"/>
      <c r="V187" s="1462"/>
      <c r="W187" s="1462"/>
      <c r="X187" s="1462"/>
      <c r="Y187" s="1462"/>
    </row>
    <row r="188" spans="1:25" x14ac:dyDescent="0.3">
      <c r="A188" s="2294"/>
      <c r="B188" s="2294"/>
      <c r="C188" s="2294"/>
      <c r="D188" s="2294"/>
      <c r="E188" s="1461"/>
      <c r="I188" s="1452"/>
      <c r="J188" s="1452"/>
      <c r="K188" s="1452"/>
      <c r="L188" s="1452"/>
      <c r="M188" s="1452"/>
      <c r="N188" s="1452"/>
      <c r="O188" s="1452"/>
      <c r="P188" s="1525"/>
      <c r="R188" s="1462"/>
      <c r="S188" s="1462"/>
      <c r="T188" s="1462"/>
      <c r="U188" s="1462"/>
      <c r="V188" s="1462"/>
      <c r="W188" s="1462"/>
      <c r="X188" s="1462"/>
      <c r="Y188" s="1462"/>
    </row>
    <row r="189" spans="1:25" x14ac:dyDescent="0.3">
      <c r="A189" s="2294"/>
      <c r="B189" s="2294"/>
      <c r="C189" s="2294"/>
      <c r="D189" s="2294"/>
      <c r="E189" s="1461"/>
      <c r="I189" s="1452"/>
      <c r="J189" s="1452"/>
      <c r="K189" s="1452"/>
      <c r="L189" s="1452"/>
      <c r="M189" s="1452"/>
      <c r="N189" s="1452"/>
      <c r="O189" s="1452"/>
      <c r="P189" s="1525"/>
      <c r="R189" s="1462"/>
      <c r="S189" s="1462"/>
      <c r="T189" s="1462"/>
      <c r="U189" s="1462"/>
      <c r="V189" s="1462"/>
      <c r="W189" s="1462"/>
      <c r="X189" s="1462"/>
      <c r="Y189" s="1462"/>
    </row>
    <row r="190" spans="1:25" x14ac:dyDescent="0.3">
      <c r="A190" s="2294"/>
      <c r="B190" s="2294"/>
      <c r="C190" s="2294"/>
      <c r="D190" s="2294"/>
      <c r="E190" s="1461"/>
      <c r="I190" s="1452"/>
      <c r="J190" s="1452"/>
      <c r="K190" s="1452"/>
      <c r="L190" s="1452"/>
      <c r="M190" s="1452"/>
      <c r="N190" s="1452"/>
      <c r="O190" s="1452"/>
      <c r="P190" s="1525"/>
      <c r="R190" s="1462"/>
      <c r="S190" s="1462"/>
      <c r="T190" s="1462"/>
      <c r="U190" s="1462"/>
      <c r="V190" s="1462"/>
      <c r="W190" s="1462"/>
      <c r="X190" s="1462"/>
      <c r="Y190" s="1462"/>
    </row>
    <row r="191" spans="1:25" x14ac:dyDescent="0.3">
      <c r="A191" s="2294"/>
      <c r="B191" s="2294"/>
      <c r="C191" s="2294"/>
      <c r="D191" s="2294"/>
      <c r="E191" s="1461"/>
      <c r="I191" s="1452"/>
      <c r="J191" s="1452"/>
      <c r="K191" s="1452"/>
      <c r="L191" s="1452"/>
      <c r="M191" s="1452"/>
      <c r="N191" s="1452"/>
      <c r="O191" s="1452"/>
      <c r="P191" s="1525"/>
      <c r="R191" s="1462"/>
      <c r="S191" s="1462"/>
      <c r="T191" s="1462"/>
      <c r="U191" s="1462"/>
      <c r="V191" s="1462"/>
      <c r="W191" s="1462"/>
      <c r="X191" s="1462"/>
      <c r="Y191" s="1462"/>
    </row>
    <row r="192" spans="1:25" x14ac:dyDescent="0.3">
      <c r="A192" s="2294"/>
      <c r="B192" s="2294"/>
      <c r="C192" s="2294"/>
      <c r="D192" s="2294"/>
      <c r="E192" s="1461"/>
      <c r="I192" s="1452"/>
      <c r="J192" s="1452"/>
      <c r="K192" s="1452"/>
      <c r="L192" s="1452"/>
      <c r="M192" s="1452"/>
      <c r="N192" s="1452"/>
      <c r="O192" s="1452"/>
      <c r="P192" s="1525"/>
      <c r="R192" s="1462"/>
      <c r="S192" s="1462"/>
      <c r="T192" s="1462"/>
      <c r="U192" s="1462"/>
      <c r="V192" s="1462"/>
      <c r="W192" s="1462"/>
      <c r="X192" s="1462"/>
      <c r="Y192" s="1462"/>
    </row>
    <row r="193" spans="1:25" x14ac:dyDescent="0.3">
      <c r="A193" s="2294"/>
      <c r="B193" s="2294"/>
      <c r="C193" s="2294"/>
      <c r="D193" s="2294"/>
      <c r="E193" s="1461"/>
      <c r="I193" s="1452"/>
      <c r="J193" s="1452"/>
      <c r="K193" s="1452"/>
      <c r="L193" s="1452"/>
      <c r="M193" s="1452"/>
      <c r="N193" s="1452"/>
      <c r="O193" s="1452"/>
      <c r="P193" s="1525"/>
      <c r="R193" s="1462"/>
      <c r="S193" s="1462"/>
      <c r="T193" s="1462"/>
      <c r="U193" s="1462"/>
      <c r="V193" s="1462"/>
      <c r="W193" s="1462"/>
      <c r="X193" s="1462"/>
      <c r="Y193" s="1462"/>
    </row>
    <row r="194" spans="1:25" x14ac:dyDescent="0.3">
      <c r="A194" s="2294"/>
      <c r="B194" s="2294"/>
      <c r="C194" s="2294"/>
      <c r="D194" s="2294"/>
      <c r="E194" s="1461"/>
      <c r="I194" s="1452"/>
      <c r="J194" s="1452"/>
      <c r="K194" s="1452"/>
      <c r="L194" s="1452"/>
      <c r="M194" s="1452"/>
      <c r="N194" s="1452"/>
      <c r="O194" s="1452"/>
      <c r="P194" s="1525"/>
      <c r="R194" s="1462"/>
      <c r="S194" s="1462"/>
      <c r="T194" s="1462"/>
      <c r="U194" s="1462"/>
      <c r="V194" s="1462"/>
      <c r="W194" s="1462"/>
      <c r="X194" s="1462"/>
      <c r="Y194" s="1462"/>
    </row>
    <row r="195" spans="1:25" x14ac:dyDescent="0.3">
      <c r="A195" s="2294"/>
      <c r="B195" s="2294"/>
      <c r="C195" s="2294"/>
      <c r="D195" s="2294"/>
      <c r="E195" s="1461"/>
      <c r="I195" s="1452"/>
      <c r="J195" s="1452"/>
      <c r="K195" s="1452"/>
      <c r="L195" s="1452"/>
      <c r="M195" s="1452"/>
      <c r="N195" s="1452"/>
      <c r="O195" s="1452"/>
      <c r="P195" s="1525"/>
      <c r="R195" s="1462"/>
      <c r="S195" s="1462"/>
      <c r="T195" s="1462"/>
      <c r="U195" s="1462"/>
      <c r="V195" s="1462"/>
      <c r="W195" s="1462"/>
      <c r="X195" s="1462"/>
      <c r="Y195" s="1462"/>
    </row>
    <row r="196" spans="1:25" x14ac:dyDescent="0.3">
      <c r="A196" s="2294"/>
      <c r="B196" s="2294"/>
      <c r="C196" s="2294"/>
      <c r="D196" s="2294"/>
      <c r="E196" s="1461"/>
      <c r="I196" s="1452"/>
      <c r="J196" s="1452"/>
      <c r="K196" s="1452"/>
      <c r="L196" s="1452"/>
      <c r="M196" s="1452"/>
      <c r="N196" s="1452"/>
      <c r="O196" s="1452"/>
      <c r="P196" s="1525"/>
      <c r="R196" s="1462"/>
      <c r="S196" s="1462"/>
      <c r="T196" s="1462"/>
      <c r="U196" s="1462"/>
      <c r="V196" s="1462"/>
      <c r="W196" s="1462"/>
      <c r="X196" s="1462"/>
      <c r="Y196" s="1462"/>
    </row>
    <row r="197" spans="1:25" x14ac:dyDescent="0.3">
      <c r="A197" s="2294"/>
      <c r="B197" s="2294"/>
      <c r="C197" s="2294"/>
      <c r="D197" s="2294"/>
      <c r="E197" s="1461"/>
      <c r="I197" s="1452"/>
      <c r="J197" s="1452"/>
      <c r="K197" s="1452"/>
      <c r="L197" s="1452"/>
      <c r="M197" s="1452"/>
      <c r="N197" s="1452"/>
      <c r="O197" s="1452"/>
      <c r="P197" s="1525"/>
      <c r="R197" s="1462"/>
      <c r="S197" s="1462"/>
      <c r="T197" s="1462"/>
      <c r="U197" s="1462"/>
      <c r="V197" s="1462"/>
      <c r="W197" s="1462"/>
      <c r="X197" s="1462"/>
      <c r="Y197" s="1462"/>
    </row>
    <row r="198" spans="1:25" x14ac:dyDescent="0.3">
      <c r="A198" s="2294"/>
      <c r="B198" s="2294"/>
      <c r="C198" s="2294"/>
      <c r="D198" s="2294"/>
      <c r="E198" s="1461"/>
      <c r="I198" s="1452"/>
      <c r="J198" s="1452"/>
      <c r="K198" s="1452"/>
      <c r="L198" s="1452"/>
      <c r="M198" s="1452"/>
      <c r="N198" s="1452"/>
      <c r="O198" s="1452"/>
      <c r="P198" s="1525"/>
      <c r="R198" s="1462"/>
      <c r="S198" s="1462"/>
      <c r="T198" s="1462"/>
      <c r="U198" s="1462"/>
      <c r="V198" s="1462"/>
      <c r="W198" s="1462"/>
      <c r="X198" s="1462"/>
      <c r="Y198" s="1462"/>
    </row>
    <row r="199" spans="1:25" x14ac:dyDescent="0.3">
      <c r="A199" s="2294"/>
      <c r="B199" s="2294"/>
      <c r="C199" s="2294"/>
      <c r="D199" s="2294"/>
      <c r="E199" s="1461"/>
      <c r="I199" s="1452"/>
      <c r="J199" s="1452"/>
      <c r="K199" s="1452"/>
      <c r="L199" s="1452"/>
      <c r="M199" s="1452"/>
      <c r="N199" s="1452"/>
      <c r="O199" s="1452"/>
      <c r="P199" s="1525"/>
      <c r="R199" s="1462"/>
      <c r="S199" s="1462"/>
      <c r="T199" s="1462"/>
      <c r="U199" s="1462"/>
      <c r="V199" s="1462"/>
      <c r="W199" s="1462"/>
      <c r="X199" s="1462"/>
      <c r="Y199" s="1462"/>
    </row>
    <row r="200" spans="1:25" x14ac:dyDescent="0.3">
      <c r="A200" s="2294"/>
      <c r="B200" s="2294"/>
      <c r="C200" s="2294"/>
      <c r="D200" s="2294"/>
      <c r="E200" s="1461"/>
      <c r="I200" s="1452"/>
      <c r="J200" s="1452"/>
      <c r="K200" s="1452"/>
      <c r="L200" s="1452"/>
      <c r="M200" s="1452"/>
      <c r="N200" s="1452"/>
      <c r="O200" s="1452"/>
      <c r="P200" s="1525"/>
      <c r="R200" s="1462"/>
      <c r="S200" s="1462"/>
      <c r="T200" s="1462"/>
      <c r="U200" s="1462"/>
      <c r="V200" s="1462"/>
      <c r="W200" s="1462"/>
      <c r="X200" s="1462"/>
      <c r="Y200" s="1462"/>
    </row>
    <row r="201" spans="1:25" x14ac:dyDescent="0.3">
      <c r="A201" s="2294"/>
      <c r="B201" s="2294"/>
      <c r="C201" s="2294"/>
      <c r="D201" s="2294"/>
      <c r="E201" s="1461"/>
      <c r="I201" s="1452"/>
      <c r="J201" s="1452"/>
      <c r="K201" s="1452"/>
      <c r="L201" s="1452"/>
      <c r="M201" s="1452"/>
      <c r="N201" s="1452"/>
      <c r="O201" s="1452"/>
      <c r="P201" s="1525"/>
      <c r="R201" s="1462"/>
      <c r="S201" s="1462"/>
      <c r="T201" s="1462"/>
      <c r="U201" s="1462"/>
      <c r="V201" s="1462"/>
      <c r="W201" s="1462"/>
      <c r="X201" s="1462"/>
      <c r="Y201" s="1462"/>
    </row>
    <row r="202" spans="1:25" x14ac:dyDescent="0.3">
      <c r="A202" s="2294"/>
      <c r="B202" s="2294"/>
      <c r="C202" s="2294"/>
      <c r="D202" s="2294"/>
      <c r="E202" s="1461"/>
      <c r="I202" s="1452"/>
      <c r="J202" s="1452"/>
      <c r="K202" s="1452"/>
      <c r="L202" s="1452"/>
      <c r="M202" s="1452"/>
      <c r="N202" s="1452"/>
      <c r="O202" s="1452"/>
      <c r="P202" s="1525"/>
      <c r="R202" s="1462"/>
      <c r="S202" s="1462"/>
      <c r="T202" s="1462"/>
      <c r="U202" s="1462"/>
      <c r="V202" s="1462"/>
      <c r="W202" s="1462"/>
      <c r="X202" s="1462"/>
      <c r="Y202" s="1462"/>
    </row>
    <row r="203" spans="1:25" x14ac:dyDescent="0.3">
      <c r="A203" s="2294"/>
      <c r="B203" s="2294"/>
      <c r="C203" s="2294"/>
      <c r="D203" s="2294"/>
      <c r="E203" s="1461"/>
      <c r="I203" s="1452"/>
      <c r="J203" s="1452"/>
      <c r="K203" s="1452"/>
      <c r="L203" s="1452"/>
      <c r="M203" s="1452"/>
      <c r="N203" s="1452"/>
      <c r="O203" s="1452"/>
      <c r="P203" s="1525"/>
      <c r="R203" s="1462"/>
      <c r="S203" s="1462"/>
      <c r="T203" s="1462"/>
      <c r="U203" s="1462"/>
      <c r="V203" s="1462"/>
      <c r="W203" s="1462"/>
      <c r="X203" s="1462"/>
      <c r="Y203" s="1462"/>
    </row>
    <row r="204" spans="1:25" x14ac:dyDescent="0.3">
      <c r="A204" s="2294"/>
      <c r="B204" s="2294"/>
      <c r="C204" s="2294"/>
      <c r="D204" s="2294"/>
      <c r="E204" s="1461"/>
      <c r="I204" s="1452"/>
      <c r="J204" s="1452"/>
      <c r="K204" s="1452"/>
      <c r="L204" s="1452"/>
      <c r="M204" s="1452"/>
      <c r="N204" s="1452"/>
      <c r="O204" s="1452"/>
      <c r="P204" s="1525"/>
      <c r="R204" s="1462"/>
      <c r="S204" s="1462"/>
      <c r="T204" s="1462"/>
      <c r="U204" s="1462"/>
      <c r="V204" s="1462"/>
      <c r="W204" s="1462"/>
      <c r="X204" s="1462"/>
      <c r="Y204" s="1462"/>
    </row>
    <row r="205" spans="1:25" x14ac:dyDescent="0.3">
      <c r="A205" s="2294"/>
      <c r="B205" s="2294"/>
      <c r="C205" s="2294"/>
      <c r="D205" s="2294"/>
      <c r="E205" s="1461"/>
      <c r="I205" s="1452"/>
      <c r="J205" s="1452"/>
      <c r="K205" s="1452"/>
      <c r="L205" s="1452"/>
      <c r="M205" s="1452"/>
      <c r="N205" s="1452"/>
      <c r="O205" s="1452"/>
      <c r="P205" s="1525"/>
      <c r="R205" s="1462"/>
      <c r="S205" s="1462"/>
      <c r="T205" s="1462"/>
      <c r="U205" s="1462"/>
      <c r="V205" s="1462"/>
      <c r="W205" s="1462"/>
      <c r="X205" s="1462"/>
      <c r="Y205" s="1462"/>
    </row>
    <row r="206" spans="1:25" x14ac:dyDescent="0.3">
      <c r="A206" s="2294"/>
      <c r="B206" s="2294"/>
      <c r="C206" s="2294"/>
      <c r="D206" s="2294"/>
      <c r="E206" s="1461"/>
      <c r="I206" s="1452"/>
      <c r="J206" s="1452"/>
      <c r="K206" s="1452"/>
      <c r="L206" s="1452"/>
      <c r="M206" s="1452"/>
      <c r="N206" s="1452"/>
      <c r="O206" s="1452"/>
      <c r="P206" s="1525"/>
      <c r="R206" s="1462"/>
      <c r="S206" s="1462"/>
      <c r="T206" s="1462"/>
      <c r="U206" s="1462"/>
      <c r="V206" s="1462"/>
      <c r="W206" s="1462"/>
      <c r="X206" s="1462"/>
      <c r="Y206" s="1462"/>
    </row>
    <row r="207" spans="1:25" x14ac:dyDescent="0.3">
      <c r="A207" s="2294"/>
      <c r="B207" s="2294"/>
      <c r="C207" s="2294"/>
      <c r="D207" s="2294"/>
      <c r="E207" s="1461"/>
      <c r="I207" s="1452"/>
      <c r="J207" s="1452"/>
      <c r="K207" s="1452"/>
      <c r="L207" s="1452"/>
      <c r="M207" s="1452"/>
      <c r="N207" s="1452"/>
      <c r="O207" s="1452"/>
      <c r="P207" s="1525"/>
      <c r="R207" s="1462"/>
      <c r="S207" s="1462"/>
      <c r="T207" s="1462"/>
      <c r="U207" s="1462"/>
      <c r="V207" s="1462"/>
      <c r="W207" s="1462"/>
      <c r="X207" s="1462"/>
      <c r="Y207" s="1462"/>
    </row>
    <row r="208" spans="1:25" x14ac:dyDescent="0.3">
      <c r="A208" s="2294"/>
      <c r="B208" s="2294"/>
      <c r="C208" s="2294"/>
      <c r="D208" s="2294"/>
      <c r="E208" s="1461"/>
      <c r="I208" s="1452"/>
      <c r="J208" s="1452"/>
      <c r="K208" s="1452"/>
      <c r="L208" s="1452"/>
      <c r="M208" s="1452"/>
      <c r="N208" s="1452"/>
      <c r="O208" s="1452"/>
      <c r="P208" s="1525"/>
      <c r="R208" s="1462"/>
      <c r="S208" s="1462"/>
      <c r="T208" s="1462"/>
      <c r="U208" s="1462"/>
      <c r="V208" s="1462"/>
      <c r="W208" s="1462"/>
      <c r="X208" s="1462"/>
      <c r="Y208" s="1462"/>
    </row>
    <row r="209" spans="1:25" x14ac:dyDescent="0.3">
      <c r="A209" s="2294"/>
      <c r="B209" s="2294"/>
      <c r="C209" s="2294"/>
      <c r="D209" s="2294"/>
      <c r="E209" s="1461"/>
      <c r="I209" s="1452"/>
      <c r="J209" s="1452"/>
      <c r="K209" s="1452"/>
      <c r="L209" s="1452"/>
      <c r="M209" s="1452"/>
      <c r="N209" s="1452"/>
      <c r="O209" s="1452"/>
      <c r="P209" s="1525"/>
      <c r="R209" s="1462"/>
      <c r="S209" s="1462"/>
      <c r="T209" s="1462"/>
      <c r="U209" s="1462"/>
      <c r="V209" s="1462"/>
      <c r="W209" s="1462"/>
      <c r="X209" s="1462"/>
      <c r="Y209" s="1462"/>
    </row>
    <row r="210" spans="1:25" x14ac:dyDescent="0.3">
      <c r="A210" s="2294"/>
      <c r="B210" s="2294"/>
      <c r="C210" s="2294"/>
      <c r="D210" s="2294"/>
      <c r="E210" s="1461"/>
      <c r="I210" s="1452"/>
      <c r="J210" s="1452"/>
      <c r="K210" s="1452"/>
      <c r="L210" s="1452"/>
      <c r="M210" s="1452"/>
      <c r="N210" s="1452"/>
      <c r="O210" s="1452"/>
      <c r="P210" s="1525"/>
      <c r="R210" s="1462"/>
      <c r="S210" s="1462"/>
      <c r="T210" s="1462"/>
      <c r="U210" s="1462"/>
      <c r="V210" s="1462"/>
      <c r="W210" s="1462"/>
      <c r="X210" s="1462"/>
      <c r="Y210" s="1462"/>
    </row>
    <row r="211" spans="1:25" x14ac:dyDescent="0.3">
      <c r="A211" s="2294"/>
      <c r="B211" s="2294"/>
      <c r="C211" s="2294"/>
      <c r="D211" s="2294"/>
      <c r="E211" s="1461"/>
      <c r="I211" s="1452"/>
      <c r="J211" s="1452"/>
      <c r="K211" s="1452"/>
      <c r="L211" s="1452"/>
      <c r="M211" s="1452"/>
      <c r="N211" s="1452"/>
      <c r="O211" s="1452"/>
      <c r="P211" s="1525"/>
      <c r="R211" s="1462"/>
      <c r="S211" s="1462"/>
      <c r="T211" s="1462"/>
      <c r="U211" s="1462"/>
      <c r="V211" s="1462"/>
      <c r="W211" s="1462"/>
      <c r="X211" s="1462"/>
      <c r="Y211" s="1462"/>
    </row>
    <row r="212" spans="1:25" x14ac:dyDescent="0.3">
      <c r="A212" s="2294"/>
      <c r="B212" s="2294"/>
      <c r="C212" s="2294"/>
      <c r="D212" s="2294"/>
      <c r="E212" s="1461"/>
      <c r="I212" s="1452"/>
      <c r="J212" s="1452"/>
      <c r="K212" s="1452"/>
      <c r="L212" s="1452"/>
      <c r="M212" s="1452"/>
      <c r="N212" s="1452"/>
      <c r="O212" s="1452"/>
      <c r="P212" s="1525"/>
      <c r="R212" s="1462"/>
      <c r="S212" s="1462"/>
      <c r="T212" s="1462"/>
      <c r="U212" s="1462"/>
      <c r="V212" s="1462"/>
      <c r="W212" s="1462"/>
      <c r="X212" s="1462"/>
      <c r="Y212" s="1462"/>
    </row>
    <row r="213" spans="1:25" x14ac:dyDescent="0.3">
      <c r="A213" s="2294"/>
      <c r="B213" s="2294"/>
      <c r="C213" s="2294"/>
      <c r="D213" s="2294"/>
      <c r="E213" s="1461"/>
      <c r="I213" s="1452"/>
      <c r="J213" s="1452"/>
      <c r="K213" s="1452"/>
      <c r="L213" s="1452"/>
      <c r="M213" s="1452"/>
      <c r="N213" s="1452"/>
      <c r="O213" s="1452"/>
      <c r="P213" s="1525"/>
      <c r="R213" s="1462"/>
      <c r="S213" s="1462"/>
      <c r="T213" s="1462"/>
      <c r="U213" s="1462"/>
      <c r="V213" s="1462"/>
      <c r="W213" s="1462"/>
      <c r="X213" s="1462"/>
      <c r="Y213" s="1462"/>
    </row>
    <row r="214" spans="1:25" x14ac:dyDescent="0.3">
      <c r="A214" s="2294"/>
      <c r="B214" s="2294"/>
      <c r="C214" s="2294"/>
      <c r="D214" s="2294"/>
      <c r="E214" s="1461"/>
      <c r="I214" s="1452"/>
      <c r="J214" s="1452"/>
      <c r="K214" s="1452"/>
      <c r="L214" s="1452"/>
      <c r="M214" s="1452"/>
      <c r="N214" s="1452"/>
      <c r="O214" s="1452"/>
      <c r="P214" s="1525"/>
      <c r="R214" s="1462"/>
      <c r="S214" s="1462"/>
      <c r="T214" s="1462"/>
      <c r="U214" s="1462"/>
      <c r="V214" s="1462"/>
      <c r="W214" s="1462"/>
      <c r="X214" s="1462"/>
      <c r="Y214" s="1462"/>
    </row>
    <row r="215" spans="1:25" x14ac:dyDescent="0.3">
      <c r="A215" s="2294"/>
      <c r="B215" s="2294"/>
      <c r="C215" s="2294"/>
      <c r="D215" s="2294"/>
      <c r="E215" s="1461"/>
      <c r="I215" s="1452"/>
      <c r="J215" s="1452"/>
      <c r="K215" s="1452"/>
      <c r="L215" s="1452"/>
      <c r="M215" s="1452"/>
      <c r="N215" s="1452"/>
      <c r="O215" s="1452"/>
      <c r="P215" s="1525"/>
      <c r="R215" s="1462"/>
      <c r="S215" s="1462"/>
      <c r="T215" s="1462"/>
      <c r="U215" s="1462"/>
      <c r="V215" s="1462"/>
      <c r="W215" s="1462"/>
      <c r="X215" s="1462"/>
      <c r="Y215" s="1462"/>
    </row>
    <row r="216" spans="1:25" x14ac:dyDescent="0.3">
      <c r="A216" s="2294"/>
      <c r="B216" s="2294"/>
      <c r="C216" s="2294"/>
      <c r="D216" s="2294"/>
      <c r="E216" s="1461"/>
      <c r="I216" s="1452"/>
      <c r="J216" s="1452"/>
      <c r="K216" s="1452"/>
      <c r="L216" s="1452"/>
      <c r="M216" s="1452"/>
      <c r="N216" s="1452"/>
      <c r="O216" s="1452"/>
      <c r="P216" s="1525"/>
      <c r="R216" s="1462"/>
      <c r="S216" s="1462"/>
      <c r="T216" s="1462"/>
      <c r="U216" s="1462"/>
      <c r="V216" s="1462"/>
      <c r="W216" s="1462"/>
      <c r="X216" s="1462"/>
      <c r="Y216" s="1462"/>
    </row>
    <row r="217" spans="1:25" x14ac:dyDescent="0.3">
      <c r="A217" s="2294"/>
      <c r="B217" s="2294"/>
      <c r="C217" s="2294"/>
      <c r="D217" s="2294"/>
      <c r="E217" s="1461"/>
      <c r="I217" s="1452"/>
      <c r="J217" s="1452"/>
      <c r="K217" s="1452"/>
      <c r="L217" s="1452"/>
      <c r="M217" s="1452"/>
      <c r="N217" s="1452"/>
      <c r="O217" s="1452"/>
      <c r="P217" s="1525"/>
      <c r="R217" s="1462"/>
      <c r="S217" s="1462"/>
      <c r="T217" s="1462"/>
      <c r="U217" s="1462"/>
      <c r="V217" s="1462"/>
      <c r="W217" s="1462"/>
      <c r="X217" s="1462"/>
      <c r="Y217" s="1462"/>
    </row>
    <row r="218" spans="1:25" x14ac:dyDescent="0.3">
      <c r="A218" s="2294"/>
      <c r="B218" s="2294"/>
      <c r="C218" s="2294"/>
      <c r="D218" s="2294"/>
      <c r="E218" s="1461"/>
      <c r="I218" s="1452"/>
      <c r="J218" s="1452"/>
      <c r="K218" s="1452"/>
      <c r="L218" s="1452"/>
      <c r="M218" s="1452"/>
      <c r="N218" s="1452"/>
      <c r="O218" s="1452"/>
      <c r="P218" s="1525"/>
      <c r="R218" s="1462"/>
      <c r="S218" s="1462"/>
      <c r="T218" s="1462"/>
      <c r="U218" s="1462"/>
      <c r="V218" s="1462"/>
      <c r="W218" s="1462"/>
      <c r="X218" s="1462"/>
      <c r="Y218" s="1462"/>
    </row>
    <row r="219" spans="1:25" x14ac:dyDescent="0.3">
      <c r="A219" s="2294"/>
      <c r="B219" s="2294"/>
      <c r="C219" s="2294"/>
      <c r="D219" s="2294"/>
      <c r="E219" s="1461"/>
      <c r="I219" s="1452"/>
      <c r="J219" s="1452"/>
      <c r="K219" s="1452"/>
      <c r="L219" s="1452"/>
      <c r="M219" s="1452"/>
      <c r="N219" s="1452"/>
      <c r="O219" s="1452"/>
      <c r="P219" s="1525"/>
      <c r="R219" s="1462"/>
      <c r="S219" s="1462"/>
      <c r="T219" s="1462"/>
      <c r="U219" s="1462"/>
      <c r="V219" s="1462"/>
      <c r="W219" s="1462"/>
      <c r="X219" s="1462"/>
      <c r="Y219" s="1462"/>
    </row>
    <row r="220" spans="1:25" x14ac:dyDescent="0.3">
      <c r="A220" s="2294"/>
      <c r="B220" s="2294"/>
      <c r="C220" s="2294"/>
      <c r="D220" s="2294"/>
      <c r="E220" s="1461"/>
      <c r="I220" s="1452"/>
      <c r="J220" s="1452"/>
      <c r="K220" s="1452"/>
      <c r="L220" s="1452"/>
      <c r="M220" s="1452"/>
      <c r="N220" s="1452"/>
      <c r="O220" s="1452"/>
      <c r="P220" s="1525"/>
      <c r="R220" s="1462"/>
      <c r="S220" s="1462"/>
      <c r="T220" s="1462"/>
      <c r="U220" s="1462"/>
      <c r="V220" s="1462"/>
      <c r="W220" s="1462"/>
      <c r="X220" s="1462"/>
      <c r="Y220" s="1462"/>
    </row>
    <row r="221" spans="1:25" x14ac:dyDescent="0.3">
      <c r="A221" s="2294"/>
      <c r="B221" s="2294"/>
      <c r="C221" s="2294"/>
      <c r="D221" s="2294"/>
      <c r="E221" s="1461"/>
      <c r="I221" s="1452"/>
      <c r="J221" s="1452"/>
      <c r="K221" s="1452"/>
      <c r="L221" s="1452"/>
      <c r="M221" s="1452"/>
      <c r="N221" s="1452"/>
      <c r="O221" s="1452"/>
      <c r="P221" s="1525"/>
      <c r="R221" s="1462"/>
      <c r="S221" s="1462"/>
      <c r="T221" s="1462"/>
      <c r="U221" s="1462"/>
      <c r="V221" s="1462"/>
      <c r="W221" s="1462"/>
      <c r="X221" s="1462"/>
      <c r="Y221" s="1462"/>
    </row>
    <row r="222" spans="1:25" x14ac:dyDescent="0.3">
      <c r="A222" s="2294"/>
      <c r="B222" s="2294"/>
      <c r="C222" s="2294"/>
      <c r="D222" s="2294"/>
      <c r="E222" s="1461"/>
      <c r="I222" s="1452"/>
      <c r="J222" s="1452"/>
      <c r="K222" s="1452"/>
      <c r="L222" s="1452"/>
      <c r="M222" s="1452"/>
      <c r="N222" s="1452"/>
      <c r="O222" s="1452"/>
      <c r="P222" s="1525"/>
      <c r="R222" s="1462"/>
      <c r="S222" s="1462"/>
      <c r="T222" s="1462"/>
      <c r="U222" s="1462"/>
      <c r="V222" s="1462"/>
      <c r="W222" s="1462"/>
      <c r="X222" s="1462"/>
      <c r="Y222" s="1462"/>
    </row>
    <row r="223" spans="1:25" x14ac:dyDescent="0.3">
      <c r="A223" s="2294"/>
      <c r="B223" s="2294"/>
      <c r="C223" s="2294"/>
      <c r="D223" s="2294"/>
      <c r="E223" s="1461"/>
      <c r="I223" s="1452"/>
      <c r="J223" s="1452"/>
      <c r="K223" s="1452"/>
      <c r="L223" s="1452"/>
      <c r="M223" s="1452"/>
      <c r="N223" s="1452"/>
      <c r="O223" s="1452"/>
      <c r="P223" s="1525"/>
      <c r="R223" s="1462"/>
      <c r="S223" s="1462"/>
      <c r="T223" s="1462"/>
      <c r="U223" s="1462"/>
      <c r="V223" s="1462"/>
      <c r="W223" s="1462"/>
      <c r="X223" s="1462"/>
      <c r="Y223" s="1462"/>
    </row>
    <row r="224" spans="1:25" x14ac:dyDescent="0.3">
      <c r="A224" s="2294"/>
      <c r="B224" s="2294"/>
      <c r="C224" s="2294"/>
      <c r="D224" s="2294"/>
      <c r="E224" s="1461"/>
      <c r="I224" s="1452"/>
      <c r="J224" s="1452"/>
      <c r="K224" s="1452"/>
      <c r="L224" s="1452"/>
      <c r="M224" s="1452"/>
      <c r="N224" s="1452"/>
      <c r="O224" s="1452"/>
      <c r="P224" s="1525"/>
      <c r="R224" s="1462"/>
      <c r="S224" s="1462"/>
      <c r="T224" s="1462"/>
      <c r="U224" s="1462"/>
      <c r="V224" s="1462"/>
      <c r="W224" s="1462"/>
      <c r="X224" s="1462"/>
      <c r="Y224" s="1462"/>
    </row>
    <row r="225" spans="1:25" x14ac:dyDescent="0.3">
      <c r="A225" s="2294"/>
      <c r="B225" s="2294"/>
      <c r="C225" s="2294"/>
      <c r="D225" s="2294"/>
      <c r="E225" s="1461"/>
      <c r="I225" s="1452"/>
      <c r="J225" s="1452"/>
      <c r="K225" s="1452"/>
      <c r="L225" s="1452"/>
      <c r="M225" s="1452"/>
      <c r="N225" s="1452"/>
      <c r="O225" s="1452"/>
      <c r="P225" s="1525"/>
      <c r="R225" s="1462"/>
      <c r="S225" s="1462"/>
      <c r="T225" s="1462"/>
      <c r="U225" s="1462"/>
      <c r="V225" s="1462"/>
      <c r="W225" s="1462"/>
      <c r="X225" s="1462"/>
      <c r="Y225" s="1462"/>
    </row>
    <row r="226" spans="1:25" x14ac:dyDescent="0.3">
      <c r="A226" s="2294"/>
      <c r="B226" s="2294"/>
      <c r="C226" s="2294"/>
      <c r="D226" s="2294"/>
      <c r="E226" s="1461"/>
      <c r="I226" s="1452"/>
      <c r="J226" s="1452"/>
      <c r="K226" s="1452"/>
      <c r="L226" s="1452"/>
      <c r="M226" s="1452"/>
      <c r="N226" s="1452"/>
      <c r="O226" s="1452"/>
      <c r="P226" s="1525"/>
      <c r="R226" s="1462"/>
      <c r="S226" s="1462"/>
      <c r="T226" s="1462"/>
      <c r="U226" s="1462"/>
      <c r="V226" s="1462"/>
      <c r="W226" s="1462"/>
      <c r="X226" s="1462"/>
      <c r="Y226" s="1462"/>
    </row>
    <row r="227" spans="1:25" x14ac:dyDescent="0.3">
      <c r="A227" s="2294"/>
      <c r="B227" s="2294"/>
      <c r="C227" s="2294"/>
      <c r="D227" s="2294"/>
      <c r="E227" s="1461"/>
      <c r="I227" s="1452"/>
      <c r="J227" s="1452"/>
      <c r="K227" s="1452"/>
      <c r="L227" s="1452"/>
      <c r="M227" s="1452"/>
      <c r="N227" s="1452"/>
      <c r="O227" s="1452"/>
      <c r="P227" s="1525"/>
      <c r="R227" s="1462"/>
      <c r="S227" s="1462"/>
      <c r="T227" s="1462"/>
      <c r="U227" s="1462"/>
      <c r="V227" s="1462"/>
      <c r="W227" s="1462"/>
      <c r="X227" s="1462"/>
      <c r="Y227" s="1462"/>
    </row>
    <row r="228" spans="1:25" x14ac:dyDescent="0.3">
      <c r="A228" s="2294"/>
      <c r="B228" s="2294"/>
      <c r="C228" s="2294"/>
      <c r="D228" s="2294"/>
      <c r="E228" s="1461"/>
      <c r="I228" s="1452"/>
      <c r="J228" s="1452"/>
      <c r="K228" s="1452"/>
      <c r="L228" s="1452"/>
      <c r="M228" s="1452"/>
      <c r="N228" s="1452"/>
      <c r="O228" s="1452"/>
      <c r="P228" s="1525"/>
      <c r="R228" s="1462"/>
      <c r="S228" s="1462"/>
      <c r="T228" s="1462"/>
      <c r="U228" s="1462"/>
      <c r="V228" s="1462"/>
      <c r="W228" s="1462"/>
      <c r="X228" s="1462"/>
      <c r="Y228" s="1462"/>
    </row>
    <row r="229" spans="1:25" x14ac:dyDescent="0.3">
      <c r="A229" s="2294"/>
      <c r="B229" s="2294"/>
      <c r="C229" s="2294"/>
      <c r="D229" s="2294"/>
      <c r="E229" s="1461"/>
      <c r="I229" s="1452"/>
      <c r="J229" s="1452"/>
      <c r="K229" s="1452"/>
      <c r="L229" s="1452"/>
      <c r="M229" s="1452"/>
      <c r="N229" s="1452"/>
      <c r="O229" s="1452"/>
      <c r="P229" s="1525"/>
      <c r="R229" s="1462"/>
      <c r="S229" s="1462"/>
      <c r="T229" s="1462"/>
      <c r="U229" s="1462"/>
      <c r="V229" s="1462"/>
      <c r="W229" s="1462"/>
      <c r="X229" s="1462"/>
      <c r="Y229" s="1462"/>
    </row>
    <row r="230" spans="1:25" x14ac:dyDescent="0.3">
      <c r="A230" s="2294"/>
      <c r="B230" s="2294"/>
      <c r="C230" s="2294"/>
      <c r="D230" s="2294"/>
      <c r="E230" s="1461"/>
      <c r="I230" s="1452"/>
      <c r="J230" s="1452"/>
      <c r="K230" s="1452"/>
      <c r="L230" s="1452"/>
      <c r="M230" s="1452"/>
      <c r="N230" s="1452"/>
      <c r="O230" s="1452"/>
      <c r="P230" s="1525"/>
      <c r="R230" s="1462"/>
      <c r="S230" s="1462"/>
      <c r="T230" s="1462"/>
      <c r="U230" s="1462"/>
      <c r="V230" s="1462"/>
      <c r="W230" s="1462"/>
      <c r="X230" s="1462"/>
      <c r="Y230" s="1462"/>
    </row>
    <row r="231" spans="1:25" x14ac:dyDescent="0.3">
      <c r="A231" s="2294"/>
      <c r="B231" s="2294"/>
      <c r="C231" s="2294"/>
      <c r="D231" s="2294"/>
      <c r="E231" s="1461"/>
      <c r="I231" s="1452"/>
      <c r="J231" s="1452"/>
      <c r="K231" s="1452"/>
      <c r="L231" s="1452"/>
      <c r="M231" s="1452"/>
      <c r="N231" s="1452"/>
      <c r="O231" s="1452"/>
      <c r="P231" s="1525"/>
      <c r="R231" s="1462"/>
      <c r="S231" s="1462"/>
      <c r="T231" s="1462"/>
      <c r="U231" s="1462"/>
      <c r="V231" s="1462"/>
      <c r="W231" s="1462"/>
      <c r="X231" s="1462"/>
      <c r="Y231" s="1462"/>
    </row>
    <row r="232" spans="1:25" x14ac:dyDescent="0.3">
      <c r="A232" s="2294"/>
      <c r="B232" s="2294"/>
      <c r="C232" s="2294"/>
      <c r="D232" s="2294"/>
      <c r="E232" s="1461"/>
      <c r="I232" s="1452"/>
      <c r="J232" s="1452"/>
      <c r="K232" s="1452"/>
      <c r="L232" s="1452"/>
      <c r="M232" s="1452"/>
      <c r="N232" s="1452"/>
      <c r="O232" s="1452"/>
      <c r="P232" s="1525"/>
      <c r="R232" s="1462"/>
      <c r="S232" s="1462"/>
      <c r="T232" s="1462"/>
      <c r="U232" s="1462"/>
      <c r="V232" s="1462"/>
      <c r="W232" s="1462"/>
      <c r="X232" s="1462"/>
      <c r="Y232" s="1462"/>
    </row>
    <row r="233" spans="1:25" x14ac:dyDescent="0.3">
      <c r="A233" s="2294"/>
      <c r="B233" s="2294"/>
      <c r="C233" s="2294"/>
      <c r="D233" s="2294"/>
      <c r="E233" s="1461"/>
      <c r="I233" s="1452"/>
      <c r="J233" s="1452"/>
      <c r="K233" s="1452"/>
      <c r="L233" s="1452"/>
      <c r="M233" s="1452"/>
      <c r="N233" s="1452"/>
      <c r="O233" s="1452"/>
      <c r="P233" s="1525"/>
      <c r="R233" s="1462"/>
      <c r="S233" s="1462"/>
      <c r="T233" s="1462"/>
      <c r="U233" s="1462"/>
      <c r="V233" s="1462"/>
      <c r="W233" s="1462"/>
      <c r="X233" s="1462"/>
      <c r="Y233" s="1462"/>
    </row>
    <row r="234" spans="1:25" x14ac:dyDescent="0.3">
      <c r="A234" s="2294"/>
      <c r="B234" s="2294"/>
      <c r="C234" s="2294"/>
      <c r="D234" s="2294"/>
      <c r="E234" s="1461"/>
      <c r="I234" s="1452"/>
      <c r="J234" s="1452"/>
      <c r="K234" s="1452"/>
      <c r="L234" s="1452"/>
      <c r="M234" s="1452"/>
      <c r="N234" s="1452"/>
      <c r="O234" s="1452"/>
      <c r="P234" s="1525"/>
      <c r="R234" s="1462"/>
      <c r="S234" s="1462"/>
      <c r="T234" s="1462"/>
      <c r="U234" s="1462"/>
      <c r="V234" s="1462"/>
      <c r="W234" s="1462"/>
      <c r="X234" s="1462"/>
      <c r="Y234" s="1462"/>
    </row>
    <row r="235" spans="1:25" x14ac:dyDescent="0.3">
      <c r="A235" s="2294"/>
      <c r="B235" s="2294"/>
      <c r="C235" s="2294"/>
      <c r="D235" s="2294"/>
      <c r="E235" s="1461"/>
      <c r="I235" s="1452"/>
      <c r="J235" s="1452"/>
      <c r="K235" s="1452"/>
      <c r="L235" s="1452"/>
      <c r="M235" s="1452"/>
      <c r="N235" s="1452"/>
      <c r="O235" s="1452"/>
      <c r="P235" s="1525"/>
      <c r="R235" s="1462"/>
      <c r="S235" s="1462"/>
      <c r="T235" s="1462"/>
      <c r="U235" s="1462"/>
      <c r="V235" s="1462"/>
      <c r="W235" s="1462"/>
      <c r="X235" s="1462"/>
      <c r="Y235" s="1462"/>
    </row>
    <row r="236" spans="1:25" x14ac:dyDescent="0.3">
      <c r="A236" s="2294"/>
      <c r="B236" s="2294"/>
      <c r="C236" s="2294"/>
      <c r="D236" s="2294"/>
      <c r="E236" s="1461"/>
      <c r="I236" s="1452"/>
      <c r="J236" s="1452"/>
      <c r="K236" s="1452"/>
      <c r="L236" s="1452"/>
      <c r="M236" s="1452"/>
      <c r="N236" s="1452"/>
      <c r="O236" s="1452"/>
      <c r="P236" s="1525"/>
      <c r="R236" s="1462"/>
      <c r="S236" s="1462"/>
      <c r="T236" s="1462"/>
      <c r="U236" s="1462"/>
      <c r="V236" s="1462"/>
      <c r="W236" s="1462"/>
      <c r="X236" s="1462"/>
      <c r="Y236" s="1462"/>
    </row>
    <row r="237" spans="1:25" x14ac:dyDescent="0.3">
      <c r="A237" s="2294"/>
      <c r="B237" s="2294"/>
      <c r="C237" s="2294"/>
      <c r="D237" s="2294"/>
      <c r="E237" s="1461"/>
      <c r="I237" s="1452"/>
      <c r="J237" s="1452"/>
      <c r="K237" s="1452"/>
      <c r="L237" s="1452"/>
      <c r="M237" s="1452"/>
      <c r="N237" s="1452"/>
      <c r="O237" s="1452"/>
      <c r="P237" s="1525"/>
      <c r="R237" s="1462"/>
      <c r="S237" s="1462"/>
      <c r="T237" s="1462"/>
      <c r="U237" s="1462"/>
      <c r="V237" s="1462"/>
      <c r="W237" s="1462"/>
      <c r="X237" s="1462"/>
      <c r="Y237" s="1462"/>
    </row>
    <row r="238" spans="1:25" x14ac:dyDescent="0.3">
      <c r="A238" s="2294"/>
      <c r="B238" s="2294"/>
      <c r="C238" s="2294"/>
      <c r="D238" s="2294"/>
      <c r="E238" s="1461"/>
      <c r="I238" s="1452"/>
      <c r="J238" s="1452"/>
      <c r="K238" s="1452"/>
      <c r="L238" s="1452"/>
      <c r="M238" s="1452"/>
      <c r="N238" s="1452"/>
      <c r="O238" s="1452"/>
      <c r="P238" s="1525"/>
      <c r="R238" s="1462"/>
      <c r="S238" s="1462"/>
      <c r="T238" s="1462"/>
      <c r="U238" s="1462"/>
      <c r="V238" s="1462"/>
      <c r="W238" s="1462"/>
      <c r="X238" s="1462"/>
      <c r="Y238" s="1462"/>
    </row>
    <row r="239" spans="1:25" x14ac:dyDescent="0.3">
      <c r="A239" s="2294"/>
      <c r="B239" s="2294"/>
      <c r="C239" s="2294"/>
      <c r="D239" s="2294"/>
      <c r="E239" s="1461"/>
      <c r="I239" s="1452"/>
      <c r="J239" s="1452"/>
      <c r="K239" s="1452"/>
      <c r="L239" s="1452"/>
      <c r="M239" s="1452"/>
      <c r="N239" s="1452"/>
      <c r="O239" s="1452"/>
      <c r="P239" s="1525"/>
      <c r="R239" s="1462"/>
      <c r="S239" s="1462"/>
      <c r="T239" s="1462"/>
      <c r="U239" s="1462"/>
      <c r="V239" s="1462"/>
      <c r="W239" s="1462"/>
      <c r="X239" s="1462"/>
      <c r="Y239" s="1462"/>
    </row>
    <row r="240" spans="1:25" x14ac:dyDescent="0.3">
      <c r="A240" s="2294"/>
      <c r="B240" s="2294"/>
      <c r="C240" s="2294"/>
      <c r="D240" s="2294"/>
      <c r="E240" s="1461"/>
      <c r="I240" s="1452"/>
      <c r="J240" s="1452"/>
      <c r="K240" s="1452"/>
      <c r="L240" s="1452"/>
      <c r="M240" s="1452"/>
      <c r="N240" s="1452"/>
      <c r="O240" s="1452"/>
      <c r="P240" s="1525"/>
      <c r="R240" s="1462"/>
      <c r="S240" s="1462"/>
      <c r="T240" s="1462"/>
      <c r="U240" s="1462"/>
      <c r="V240" s="1462"/>
      <c r="W240" s="1462"/>
      <c r="X240" s="1462"/>
      <c r="Y240" s="1462"/>
    </row>
    <row r="241" spans="1:25" x14ac:dyDescent="0.3">
      <c r="A241" s="2294"/>
      <c r="B241" s="2294"/>
      <c r="C241" s="2294"/>
      <c r="D241" s="2294"/>
      <c r="E241" s="1461"/>
      <c r="I241" s="1452"/>
      <c r="J241" s="1452"/>
      <c r="K241" s="1452"/>
      <c r="L241" s="1452"/>
      <c r="M241" s="1452"/>
      <c r="N241" s="1452"/>
      <c r="O241" s="1452"/>
      <c r="P241" s="1525"/>
      <c r="R241" s="1462"/>
      <c r="S241" s="1462"/>
      <c r="T241" s="1462"/>
      <c r="U241" s="1462"/>
      <c r="V241" s="1462"/>
      <c r="W241" s="1462"/>
      <c r="X241" s="1462"/>
      <c r="Y241" s="1462"/>
    </row>
    <row r="242" spans="1:25" x14ac:dyDescent="0.3">
      <c r="A242" s="2294"/>
      <c r="B242" s="2294"/>
      <c r="C242" s="2294"/>
      <c r="D242" s="2294"/>
      <c r="E242" s="1461"/>
      <c r="I242" s="1452"/>
      <c r="J242" s="1452"/>
      <c r="K242" s="1452"/>
      <c r="L242" s="1452"/>
      <c r="M242" s="1452"/>
      <c r="N242" s="1452"/>
      <c r="O242" s="1452"/>
      <c r="P242" s="1525"/>
      <c r="R242" s="1462"/>
      <c r="S242" s="1462"/>
      <c r="T242" s="1462"/>
      <c r="U242" s="1462"/>
      <c r="V242" s="1462"/>
      <c r="W242" s="1462"/>
      <c r="X242" s="1462"/>
      <c r="Y242" s="1462"/>
    </row>
    <row r="243" spans="1:25" x14ac:dyDescent="0.3">
      <c r="A243" s="2294"/>
      <c r="B243" s="2294"/>
      <c r="C243" s="2294"/>
      <c r="D243" s="2294"/>
      <c r="E243" s="1461"/>
      <c r="I243" s="1452"/>
      <c r="J243" s="1452"/>
      <c r="K243" s="1452"/>
      <c r="L243" s="1452"/>
      <c r="M243" s="1452"/>
      <c r="N243" s="1452"/>
      <c r="O243" s="1452"/>
      <c r="P243" s="1525"/>
      <c r="R243" s="1462"/>
      <c r="S243" s="1462"/>
      <c r="T243" s="1462"/>
      <c r="U243" s="1462"/>
      <c r="V243" s="1462"/>
      <c r="W243" s="1462"/>
      <c r="X243" s="1462"/>
      <c r="Y243" s="1462"/>
    </row>
    <row r="244" spans="1:25" x14ac:dyDescent="0.3">
      <c r="A244" s="2294"/>
      <c r="B244" s="2294"/>
      <c r="C244" s="2294"/>
      <c r="D244" s="2294"/>
      <c r="E244" s="1461"/>
      <c r="I244" s="1452"/>
      <c r="J244" s="1452"/>
      <c r="K244" s="1452"/>
      <c r="L244" s="1452"/>
      <c r="M244" s="1452"/>
      <c r="N244" s="1452"/>
      <c r="O244" s="1452"/>
      <c r="P244" s="1525"/>
      <c r="R244" s="1462"/>
      <c r="S244" s="1462"/>
      <c r="T244" s="1462"/>
      <c r="U244" s="1462"/>
      <c r="V244" s="1462"/>
      <c r="W244" s="1462"/>
      <c r="X244" s="1462"/>
      <c r="Y244" s="1462"/>
    </row>
    <row r="245" spans="1:25" x14ac:dyDescent="0.3">
      <c r="A245" s="2294"/>
      <c r="B245" s="2294"/>
      <c r="C245" s="2294"/>
      <c r="D245" s="2294"/>
      <c r="E245" s="1461"/>
      <c r="I245" s="1452"/>
      <c r="J245" s="1452"/>
      <c r="K245" s="1452"/>
      <c r="L245" s="1452"/>
      <c r="M245" s="1452"/>
      <c r="N245" s="1452"/>
      <c r="O245" s="1452"/>
      <c r="P245" s="1525"/>
      <c r="R245" s="1462"/>
      <c r="S245" s="1462"/>
      <c r="T245" s="1462"/>
      <c r="U245" s="1462"/>
      <c r="V245" s="1462"/>
      <c r="W245" s="1462"/>
      <c r="X245" s="1462"/>
      <c r="Y245" s="1462"/>
    </row>
    <row r="246" spans="1:25" x14ac:dyDescent="0.3">
      <c r="A246" s="2294"/>
      <c r="B246" s="2294"/>
      <c r="C246" s="2294"/>
      <c r="D246" s="2294"/>
      <c r="E246" s="1461"/>
      <c r="I246" s="1452"/>
      <c r="J246" s="1452"/>
      <c r="K246" s="1452"/>
      <c r="L246" s="1452"/>
      <c r="M246" s="1452"/>
      <c r="N246" s="1452"/>
      <c r="O246" s="1452"/>
      <c r="P246" s="1525"/>
      <c r="R246" s="1462"/>
      <c r="S246" s="1462"/>
      <c r="T246" s="1462"/>
      <c r="U246" s="1462"/>
      <c r="V246" s="1462"/>
      <c r="W246" s="1462"/>
      <c r="X246" s="1462"/>
      <c r="Y246" s="1462"/>
    </row>
    <row r="247" spans="1:25" x14ac:dyDescent="0.3">
      <c r="A247" s="2294"/>
      <c r="B247" s="2294"/>
      <c r="C247" s="2294"/>
      <c r="D247" s="2294"/>
      <c r="E247" s="1461"/>
      <c r="I247" s="1452"/>
      <c r="J247" s="1452"/>
      <c r="K247" s="1452"/>
      <c r="L247" s="1452"/>
      <c r="M247" s="1452"/>
      <c r="N247" s="1452"/>
      <c r="O247" s="1452"/>
      <c r="P247" s="1525"/>
      <c r="R247" s="1462"/>
      <c r="S247" s="1462"/>
      <c r="T247" s="1462"/>
      <c r="U247" s="1462"/>
      <c r="V247" s="1462"/>
      <c r="W247" s="1462"/>
      <c r="X247" s="1462"/>
      <c r="Y247" s="1462"/>
    </row>
    <row r="248" spans="1:25" x14ac:dyDescent="0.3">
      <c r="A248" s="2294"/>
      <c r="B248" s="2294"/>
      <c r="C248" s="2294"/>
      <c r="D248" s="2294"/>
      <c r="E248" s="1461"/>
      <c r="I248" s="1452"/>
      <c r="J248" s="1452"/>
      <c r="K248" s="1452"/>
      <c r="L248" s="1452"/>
      <c r="M248" s="1452"/>
      <c r="N248" s="1452"/>
      <c r="O248" s="1452"/>
      <c r="P248" s="1525"/>
      <c r="R248" s="1462"/>
      <c r="S248" s="1462"/>
      <c r="T248" s="1462"/>
      <c r="U248" s="1462"/>
      <c r="V248" s="1462"/>
      <c r="W248" s="1462"/>
      <c r="X248" s="1462"/>
      <c r="Y248" s="1462"/>
    </row>
    <row r="249" spans="1:25" x14ac:dyDescent="0.3">
      <c r="A249" s="2294"/>
      <c r="B249" s="2294"/>
      <c r="C249" s="2294"/>
      <c r="D249" s="2294"/>
      <c r="E249" s="1461"/>
      <c r="I249" s="1452"/>
      <c r="J249" s="1452"/>
      <c r="K249" s="1452"/>
      <c r="L249" s="1452"/>
      <c r="M249" s="1452"/>
      <c r="N249" s="1452"/>
      <c r="O249" s="1452"/>
      <c r="P249" s="1525"/>
      <c r="R249" s="1462"/>
      <c r="S249" s="1462"/>
      <c r="T249" s="1462"/>
      <c r="U249" s="1462"/>
      <c r="V249" s="1462"/>
      <c r="W249" s="1462"/>
      <c r="X249" s="1462"/>
      <c r="Y249" s="1462"/>
    </row>
    <row r="250" spans="1:25" x14ac:dyDescent="0.3">
      <c r="A250" s="2294"/>
      <c r="B250" s="2294"/>
      <c r="C250" s="2294"/>
      <c r="D250" s="2294"/>
      <c r="E250" s="1461"/>
      <c r="I250" s="1452"/>
      <c r="J250" s="1452"/>
      <c r="K250" s="1452"/>
      <c r="L250" s="1452"/>
      <c r="M250" s="1452"/>
      <c r="N250" s="1452"/>
      <c r="O250" s="1452"/>
      <c r="P250" s="1525"/>
      <c r="R250" s="1462"/>
      <c r="S250" s="1462"/>
      <c r="T250" s="1462"/>
      <c r="U250" s="1462"/>
      <c r="V250" s="1462"/>
      <c r="W250" s="1462"/>
      <c r="X250" s="1462"/>
      <c r="Y250" s="1462"/>
    </row>
    <row r="251" spans="1:25" x14ac:dyDescent="0.3">
      <c r="A251" s="2294"/>
      <c r="B251" s="2294"/>
      <c r="C251" s="2294"/>
      <c r="D251" s="2294"/>
      <c r="E251" s="1461"/>
      <c r="I251" s="1452"/>
      <c r="J251" s="1452"/>
      <c r="K251" s="1452"/>
      <c r="L251" s="1452"/>
      <c r="M251" s="1452"/>
      <c r="N251" s="1452"/>
      <c r="O251" s="1452"/>
      <c r="P251" s="1525"/>
      <c r="R251" s="1462"/>
      <c r="S251" s="1462"/>
      <c r="T251" s="1462"/>
      <c r="U251" s="1462"/>
      <c r="V251" s="1462"/>
      <c r="W251" s="1462"/>
      <c r="X251" s="1462"/>
      <c r="Y251" s="1462"/>
    </row>
    <row r="252" spans="1:25" x14ac:dyDescent="0.3">
      <c r="A252" s="2294"/>
      <c r="B252" s="2294"/>
      <c r="C252" s="2294"/>
      <c r="D252" s="2294"/>
      <c r="E252" s="1461"/>
      <c r="I252" s="1452"/>
      <c r="J252" s="1452"/>
      <c r="K252" s="1452"/>
      <c r="L252" s="1452"/>
      <c r="M252" s="1452"/>
      <c r="N252" s="1452"/>
      <c r="O252" s="1452"/>
      <c r="P252" s="1525"/>
      <c r="R252" s="1462"/>
      <c r="S252" s="1462"/>
      <c r="T252" s="1462"/>
      <c r="U252" s="1462"/>
      <c r="V252" s="1462"/>
      <c r="W252" s="1462"/>
      <c r="X252" s="1462"/>
      <c r="Y252" s="1462"/>
    </row>
    <row r="253" spans="1:25" x14ac:dyDescent="0.3">
      <c r="A253" s="2294"/>
      <c r="B253" s="2294"/>
      <c r="C253" s="2294"/>
      <c r="D253" s="2294"/>
      <c r="E253" s="1461"/>
      <c r="I253" s="1452"/>
      <c r="J253" s="1452"/>
      <c r="K253" s="1452"/>
      <c r="L253" s="1452"/>
      <c r="M253" s="1452"/>
      <c r="N253" s="1452"/>
      <c r="O253" s="1452"/>
      <c r="P253" s="1525"/>
      <c r="R253" s="1462"/>
      <c r="S253" s="1462"/>
      <c r="T253" s="1462"/>
      <c r="U253" s="1462"/>
      <c r="V253" s="1462"/>
      <c r="W253" s="1462"/>
      <c r="X253" s="1462"/>
      <c r="Y253" s="1462"/>
    </row>
    <row r="254" spans="1:25" x14ac:dyDescent="0.3">
      <c r="A254" s="2294"/>
      <c r="B254" s="2294"/>
      <c r="C254" s="2294"/>
      <c r="D254" s="2294"/>
      <c r="E254" s="1461"/>
      <c r="I254" s="1452"/>
      <c r="J254" s="1452"/>
      <c r="K254" s="1452"/>
      <c r="L254" s="1452"/>
      <c r="M254" s="1452"/>
      <c r="N254" s="1452"/>
      <c r="O254" s="1452"/>
      <c r="P254" s="1525"/>
      <c r="R254" s="1462"/>
      <c r="S254" s="1462"/>
      <c r="T254" s="1462"/>
      <c r="U254" s="1462"/>
      <c r="V254" s="1462"/>
      <c r="W254" s="1462"/>
      <c r="X254" s="1462"/>
      <c r="Y254" s="1462"/>
    </row>
    <row r="255" spans="1:25" x14ac:dyDescent="0.3">
      <c r="A255" s="2294"/>
      <c r="B255" s="2294"/>
      <c r="C255" s="2294"/>
      <c r="D255" s="2294"/>
      <c r="E255" s="1461"/>
      <c r="I255" s="1452"/>
      <c r="J255" s="1452"/>
      <c r="K255" s="1452"/>
      <c r="L255" s="1452"/>
      <c r="M255" s="1452"/>
      <c r="N255" s="1452"/>
      <c r="O255" s="1452"/>
      <c r="P255" s="1525"/>
      <c r="R255" s="1462"/>
      <c r="S255" s="1462"/>
      <c r="T255" s="1462"/>
      <c r="U255" s="1462"/>
      <c r="V255" s="1462"/>
      <c r="W255" s="1462"/>
      <c r="X255" s="1462"/>
      <c r="Y255" s="1462"/>
    </row>
    <row r="256" spans="1:25" x14ac:dyDescent="0.3">
      <c r="A256" s="2294"/>
      <c r="B256" s="2294"/>
      <c r="C256" s="2294"/>
      <c r="D256" s="2294"/>
      <c r="E256" s="1461"/>
      <c r="I256" s="1452"/>
      <c r="J256" s="1452"/>
      <c r="K256" s="1452"/>
      <c r="L256" s="1452"/>
      <c r="M256" s="1452"/>
      <c r="N256" s="1452"/>
      <c r="O256" s="1452"/>
      <c r="P256" s="1525"/>
      <c r="R256" s="1462"/>
      <c r="S256" s="1462"/>
      <c r="T256" s="1462"/>
      <c r="U256" s="1462"/>
      <c r="V256" s="1462"/>
      <c r="W256" s="1462"/>
      <c r="X256" s="1462"/>
      <c r="Y256" s="1462"/>
    </row>
    <row r="257" spans="1:25" x14ac:dyDescent="0.3">
      <c r="A257" s="2294"/>
      <c r="B257" s="2294"/>
      <c r="C257" s="2294"/>
      <c r="D257" s="2294"/>
      <c r="E257" s="1461"/>
      <c r="I257" s="1452"/>
      <c r="J257" s="1452"/>
      <c r="K257" s="1452"/>
      <c r="L257" s="1452"/>
      <c r="M257" s="1452"/>
      <c r="N257" s="1452"/>
      <c r="O257" s="1452"/>
      <c r="P257" s="1525"/>
      <c r="R257" s="1462"/>
      <c r="S257" s="1462"/>
      <c r="T257" s="1462"/>
      <c r="U257" s="1462"/>
      <c r="V257" s="1462"/>
      <c r="W257" s="1462"/>
      <c r="X257" s="1462"/>
      <c r="Y257" s="1462"/>
    </row>
    <row r="258" spans="1:25" x14ac:dyDescent="0.3">
      <c r="A258" s="2294"/>
      <c r="B258" s="2294"/>
      <c r="C258" s="2294"/>
      <c r="D258" s="2294"/>
      <c r="E258" s="1461"/>
      <c r="I258" s="1452"/>
      <c r="J258" s="1452"/>
      <c r="K258" s="1452"/>
      <c r="L258" s="1452"/>
      <c r="M258" s="1452"/>
      <c r="N258" s="1452"/>
      <c r="O258" s="1452"/>
      <c r="P258" s="1525"/>
      <c r="R258" s="1462"/>
      <c r="S258" s="1462"/>
      <c r="T258" s="1462"/>
      <c r="U258" s="1462"/>
      <c r="V258" s="1462"/>
      <c r="W258" s="1462"/>
      <c r="X258" s="1462"/>
      <c r="Y258" s="1462"/>
    </row>
    <row r="259" spans="1:25" x14ac:dyDescent="0.3">
      <c r="A259" s="2294"/>
      <c r="B259" s="2294"/>
      <c r="C259" s="2294"/>
      <c r="D259" s="2294"/>
      <c r="E259" s="1461"/>
      <c r="I259" s="1452"/>
      <c r="J259" s="1452"/>
      <c r="K259" s="1452"/>
      <c r="L259" s="1452"/>
      <c r="M259" s="1452"/>
      <c r="N259" s="1452"/>
      <c r="O259" s="1452"/>
      <c r="P259" s="1525"/>
      <c r="R259" s="1462"/>
      <c r="S259" s="1462"/>
      <c r="T259" s="1462"/>
      <c r="U259" s="1462"/>
      <c r="V259" s="1462"/>
      <c r="W259" s="1462"/>
      <c r="X259" s="1462"/>
      <c r="Y259" s="1462"/>
    </row>
    <row r="260" spans="1:25" x14ac:dyDescent="0.3">
      <c r="A260" s="2294"/>
      <c r="B260" s="2294"/>
      <c r="C260" s="2294"/>
      <c r="D260" s="2294"/>
      <c r="E260" s="1461"/>
      <c r="I260" s="1452"/>
      <c r="J260" s="1452"/>
      <c r="K260" s="1452"/>
      <c r="L260" s="1452"/>
      <c r="M260" s="1452"/>
      <c r="N260" s="1452"/>
      <c r="O260" s="1452"/>
      <c r="P260" s="1525"/>
      <c r="R260" s="1462"/>
      <c r="S260" s="1462"/>
      <c r="T260" s="1462"/>
      <c r="U260" s="1462"/>
      <c r="V260" s="1462"/>
      <c r="W260" s="1462"/>
      <c r="X260" s="1462"/>
      <c r="Y260" s="1462"/>
    </row>
    <row r="261" spans="1:25" x14ac:dyDescent="0.3">
      <c r="A261" s="2294"/>
      <c r="B261" s="2294"/>
      <c r="C261" s="2294"/>
      <c r="D261" s="2294"/>
      <c r="E261" s="1461"/>
      <c r="I261" s="1452"/>
      <c r="J261" s="1452"/>
      <c r="K261" s="1452"/>
      <c r="L261" s="1452"/>
      <c r="M261" s="1452"/>
      <c r="N261" s="1452"/>
      <c r="O261" s="1452"/>
      <c r="P261" s="1525"/>
      <c r="R261" s="1462"/>
      <c r="S261" s="1462"/>
      <c r="T261" s="1462"/>
      <c r="U261" s="1462"/>
      <c r="V261" s="1462"/>
      <c r="W261" s="1462"/>
      <c r="X261" s="1462"/>
      <c r="Y261" s="1462"/>
    </row>
    <row r="262" spans="1:25" x14ac:dyDescent="0.3">
      <c r="A262" s="2294"/>
      <c r="B262" s="2294"/>
      <c r="C262" s="2294"/>
      <c r="D262" s="2294"/>
      <c r="E262" s="1461"/>
      <c r="I262" s="1452"/>
      <c r="J262" s="1452"/>
      <c r="K262" s="1452"/>
      <c r="L262" s="1452"/>
      <c r="M262" s="1452"/>
      <c r="N262" s="1452"/>
      <c r="O262" s="1452"/>
      <c r="P262" s="1525"/>
      <c r="R262" s="1462"/>
      <c r="S262" s="1462"/>
      <c r="T262" s="1462"/>
      <c r="U262" s="1462"/>
      <c r="V262" s="1462"/>
      <c r="W262" s="1462"/>
      <c r="X262" s="1462"/>
      <c r="Y262" s="1462"/>
    </row>
    <row r="263" spans="1:25" x14ac:dyDescent="0.3">
      <c r="A263" s="2294"/>
      <c r="B263" s="2294"/>
      <c r="C263" s="2294"/>
      <c r="D263" s="2294"/>
      <c r="E263" s="1461"/>
      <c r="I263" s="1452"/>
      <c r="J263" s="1452"/>
      <c r="K263" s="1452"/>
      <c r="L263" s="1452"/>
      <c r="M263" s="1452"/>
      <c r="N263" s="1452"/>
      <c r="O263" s="1452"/>
      <c r="P263" s="1525"/>
      <c r="R263" s="1462"/>
      <c r="S263" s="1462"/>
      <c r="T263" s="1462"/>
      <c r="U263" s="1462"/>
      <c r="V263" s="1462"/>
      <c r="W263" s="1462"/>
      <c r="X263" s="1462"/>
      <c r="Y263" s="1462"/>
    </row>
    <row r="264" spans="1:25" x14ac:dyDescent="0.3">
      <c r="A264" s="2294"/>
      <c r="B264" s="2294"/>
      <c r="C264" s="2294"/>
      <c r="D264" s="2294"/>
      <c r="E264" s="1461"/>
      <c r="I264" s="1452"/>
      <c r="J264" s="1452"/>
      <c r="K264" s="1452"/>
      <c r="L264" s="1452"/>
      <c r="M264" s="1452"/>
      <c r="N264" s="1452"/>
      <c r="O264" s="1452"/>
      <c r="P264" s="1525"/>
      <c r="R264" s="1462"/>
      <c r="S264" s="1462"/>
      <c r="T264" s="1462"/>
      <c r="U264" s="1462"/>
      <c r="V264" s="1462"/>
      <c r="W264" s="1462"/>
      <c r="X264" s="1462"/>
      <c r="Y264" s="1462"/>
    </row>
    <row r="265" spans="1:25" x14ac:dyDescent="0.3">
      <c r="A265" s="2294"/>
      <c r="B265" s="2294"/>
      <c r="C265" s="2294"/>
      <c r="D265" s="2294"/>
      <c r="E265" s="1461"/>
      <c r="I265" s="1452"/>
      <c r="J265" s="1452"/>
      <c r="K265" s="1452"/>
      <c r="L265" s="1452"/>
      <c r="M265" s="1452"/>
      <c r="N265" s="1452"/>
      <c r="O265" s="1452"/>
      <c r="P265" s="1525"/>
      <c r="R265" s="1462"/>
      <c r="S265" s="1462"/>
      <c r="T265" s="1462"/>
      <c r="U265" s="1462"/>
      <c r="V265" s="1462"/>
      <c r="W265" s="1462"/>
      <c r="X265" s="1462"/>
      <c r="Y265" s="1462"/>
    </row>
    <row r="266" spans="1:25" x14ac:dyDescent="0.3">
      <c r="A266" s="2294"/>
      <c r="B266" s="2294"/>
      <c r="C266" s="2294"/>
      <c r="D266" s="2294"/>
      <c r="E266" s="1461"/>
      <c r="I266" s="1452"/>
      <c r="J266" s="1452"/>
      <c r="K266" s="1452"/>
      <c r="L266" s="1452"/>
      <c r="M266" s="1452"/>
      <c r="N266" s="1452"/>
      <c r="O266" s="1452"/>
      <c r="P266" s="1525"/>
      <c r="R266" s="1462"/>
      <c r="S266" s="1462"/>
      <c r="T266" s="1462"/>
      <c r="U266" s="1462"/>
      <c r="V266" s="1462"/>
      <c r="W266" s="1462"/>
      <c r="X266" s="1462"/>
      <c r="Y266" s="1462"/>
    </row>
    <row r="267" spans="1:25" x14ac:dyDescent="0.3">
      <c r="A267" s="2294"/>
      <c r="B267" s="2294"/>
      <c r="C267" s="2294"/>
      <c r="D267" s="2294"/>
      <c r="E267" s="1461"/>
      <c r="I267" s="1452"/>
      <c r="J267" s="1452"/>
      <c r="K267" s="1452"/>
      <c r="L267" s="1452"/>
      <c r="M267" s="1452"/>
      <c r="N267" s="1452"/>
      <c r="O267" s="1452"/>
      <c r="P267" s="1525"/>
      <c r="R267" s="1462"/>
      <c r="S267" s="1462"/>
      <c r="T267" s="1462"/>
      <c r="U267" s="1462"/>
      <c r="V267" s="1462"/>
      <c r="W267" s="1462"/>
      <c r="X267" s="1462"/>
      <c r="Y267" s="1462"/>
    </row>
    <row r="268" spans="1:25" x14ac:dyDescent="0.3">
      <c r="A268" s="2294"/>
      <c r="B268" s="2294"/>
      <c r="C268" s="2294"/>
      <c r="D268" s="2294"/>
      <c r="E268" s="1461"/>
      <c r="I268" s="1452"/>
      <c r="J268" s="1452"/>
      <c r="K268" s="1452"/>
      <c r="L268" s="1452"/>
      <c r="M268" s="1452"/>
      <c r="N268" s="1452"/>
      <c r="O268" s="1452"/>
      <c r="P268" s="1525"/>
      <c r="R268" s="1462"/>
      <c r="S268" s="1462"/>
      <c r="T268" s="1462"/>
      <c r="U268" s="1462"/>
      <c r="V268" s="1462"/>
      <c r="W268" s="1462"/>
      <c r="X268" s="1462"/>
      <c r="Y268" s="1462"/>
    </row>
    <row r="269" spans="1:25" x14ac:dyDescent="0.3">
      <c r="A269" s="2294"/>
      <c r="B269" s="2294"/>
      <c r="C269" s="2294"/>
      <c r="D269" s="2294"/>
      <c r="E269" s="1461"/>
      <c r="I269" s="1452"/>
      <c r="J269" s="1452"/>
      <c r="K269" s="1452"/>
      <c r="L269" s="1452"/>
      <c r="M269" s="1452"/>
      <c r="N269" s="1452"/>
      <c r="O269" s="1452"/>
      <c r="P269" s="1525"/>
      <c r="R269" s="1462"/>
      <c r="S269" s="1462"/>
      <c r="T269" s="1462"/>
      <c r="U269" s="1462"/>
      <c r="V269" s="1462"/>
      <c r="W269" s="1462"/>
      <c r="X269" s="1462"/>
      <c r="Y269" s="1462"/>
    </row>
    <row r="270" spans="1:25" x14ac:dyDescent="0.3">
      <c r="A270" s="2294"/>
      <c r="B270" s="2294"/>
      <c r="C270" s="2294"/>
      <c r="D270" s="2294"/>
      <c r="E270" s="1461"/>
      <c r="I270" s="1452"/>
      <c r="J270" s="1452"/>
      <c r="K270" s="1452"/>
      <c r="L270" s="1452"/>
      <c r="M270" s="1452"/>
      <c r="N270" s="1452"/>
      <c r="O270" s="1452"/>
      <c r="P270" s="1525"/>
      <c r="R270" s="1462"/>
      <c r="S270" s="1462"/>
      <c r="T270" s="1462"/>
      <c r="U270" s="1462"/>
      <c r="V270" s="1462"/>
      <c r="W270" s="1462"/>
      <c r="X270" s="1462"/>
      <c r="Y270" s="1462"/>
    </row>
    <row r="271" spans="1:25" x14ac:dyDescent="0.3">
      <c r="A271" s="2294"/>
      <c r="B271" s="2294"/>
      <c r="C271" s="2294"/>
      <c r="D271" s="2294"/>
      <c r="E271" s="1461"/>
      <c r="I271" s="1452"/>
      <c r="J271" s="1452"/>
      <c r="K271" s="1452"/>
      <c r="L271" s="1452"/>
      <c r="M271" s="1452"/>
      <c r="N271" s="1452"/>
      <c r="O271" s="1452"/>
      <c r="P271" s="1525"/>
      <c r="R271" s="1462"/>
      <c r="S271" s="1462"/>
      <c r="T271" s="1462"/>
      <c r="U271" s="1462"/>
      <c r="V271" s="1462"/>
      <c r="W271" s="1462"/>
      <c r="X271" s="1462"/>
      <c r="Y271" s="1462"/>
    </row>
    <row r="272" spans="1:25" x14ac:dyDescent="0.3">
      <c r="A272" s="2294"/>
      <c r="B272" s="2294"/>
      <c r="C272" s="2294"/>
      <c r="D272" s="2294"/>
      <c r="E272" s="1461"/>
      <c r="I272" s="1452"/>
      <c r="J272" s="1452"/>
      <c r="K272" s="1452"/>
      <c r="L272" s="1452"/>
      <c r="M272" s="1452"/>
      <c r="N272" s="1452"/>
      <c r="O272" s="1452"/>
      <c r="P272" s="1525"/>
      <c r="R272" s="1462"/>
      <c r="S272" s="1462"/>
      <c r="T272" s="1462"/>
      <c r="U272" s="1462"/>
      <c r="V272" s="1462"/>
      <c r="W272" s="1462"/>
      <c r="X272" s="1462"/>
      <c r="Y272" s="1462"/>
    </row>
    <row r="273" spans="1:25" x14ac:dyDescent="0.3">
      <c r="A273" s="2294"/>
      <c r="B273" s="2294"/>
      <c r="C273" s="2294"/>
      <c r="D273" s="2294"/>
      <c r="E273" s="1461"/>
      <c r="I273" s="1452"/>
      <c r="J273" s="1452"/>
      <c r="K273" s="1452"/>
      <c r="L273" s="1452"/>
      <c r="M273" s="1452"/>
      <c r="N273" s="1452"/>
      <c r="O273" s="1452"/>
      <c r="P273" s="1525"/>
      <c r="R273" s="1462"/>
      <c r="S273" s="1462"/>
      <c r="T273" s="1462"/>
      <c r="U273" s="1462"/>
      <c r="V273" s="1462"/>
      <c r="W273" s="1462"/>
      <c r="X273" s="1462"/>
      <c r="Y273" s="1462"/>
    </row>
    <row r="274" spans="1:25" x14ac:dyDescent="0.3">
      <c r="A274" s="2294"/>
      <c r="B274" s="2294"/>
      <c r="C274" s="2294"/>
      <c r="D274" s="2294"/>
      <c r="E274" s="1461"/>
      <c r="I274" s="1452"/>
      <c r="J274" s="1452"/>
      <c r="K274" s="1452"/>
      <c r="L274" s="1452"/>
      <c r="M274" s="1452"/>
      <c r="N274" s="1452"/>
      <c r="O274" s="1452"/>
      <c r="P274" s="1525"/>
      <c r="R274" s="1462"/>
      <c r="S274" s="1462"/>
      <c r="T274" s="1462"/>
      <c r="U274" s="1462"/>
      <c r="V274" s="1462"/>
      <c r="W274" s="1462"/>
      <c r="X274" s="1462"/>
      <c r="Y274" s="1462"/>
    </row>
    <row r="275" spans="1:25" x14ac:dyDescent="0.3">
      <c r="A275" s="2294"/>
      <c r="B275" s="2294"/>
      <c r="C275" s="2294"/>
      <c r="D275" s="2294"/>
      <c r="E275" s="1461"/>
      <c r="I275" s="1452"/>
      <c r="J275" s="1452"/>
      <c r="K275" s="1452"/>
      <c r="L275" s="1452"/>
      <c r="M275" s="1452"/>
      <c r="N275" s="1452"/>
      <c r="O275" s="1452"/>
      <c r="P275" s="1525"/>
      <c r="R275" s="1462"/>
      <c r="S275" s="1462"/>
      <c r="T275" s="1462"/>
      <c r="U275" s="1462"/>
      <c r="V275" s="1462"/>
      <c r="W275" s="1462"/>
      <c r="X275" s="1462"/>
      <c r="Y275" s="1462"/>
    </row>
    <row r="276" spans="1:25" x14ac:dyDescent="0.3">
      <c r="A276" s="2294"/>
      <c r="B276" s="2294"/>
      <c r="C276" s="2294"/>
      <c r="D276" s="2294"/>
      <c r="E276" s="1461"/>
      <c r="I276" s="1452"/>
      <c r="J276" s="1452"/>
      <c r="K276" s="1452"/>
      <c r="L276" s="1452"/>
      <c r="M276" s="1452"/>
      <c r="N276" s="1452"/>
      <c r="O276" s="1452"/>
      <c r="P276" s="1525"/>
      <c r="R276" s="1462"/>
      <c r="S276" s="1462"/>
      <c r="T276" s="1462"/>
      <c r="U276" s="1462"/>
      <c r="V276" s="1462"/>
      <c r="W276" s="1462"/>
      <c r="X276" s="1462"/>
      <c r="Y276" s="1462"/>
    </row>
    <row r="277" spans="1:25" x14ac:dyDescent="0.3">
      <c r="A277" s="2294"/>
      <c r="B277" s="2294"/>
      <c r="C277" s="2294"/>
      <c r="D277" s="2294"/>
      <c r="E277" s="1461"/>
      <c r="I277" s="1452"/>
      <c r="J277" s="1452"/>
      <c r="K277" s="1452"/>
      <c r="L277" s="1452"/>
      <c r="M277" s="1452"/>
      <c r="N277" s="1452"/>
      <c r="O277" s="1452"/>
      <c r="P277" s="1525"/>
      <c r="R277" s="1462"/>
      <c r="S277" s="1462"/>
      <c r="T277" s="1462"/>
      <c r="U277" s="1462"/>
      <c r="V277" s="1462"/>
      <c r="W277" s="1462"/>
      <c r="X277" s="1462"/>
      <c r="Y277" s="1462"/>
    </row>
    <row r="278" spans="1:25" x14ac:dyDescent="0.3">
      <c r="A278" s="2294"/>
      <c r="B278" s="2294"/>
      <c r="C278" s="2294"/>
      <c r="D278" s="2294"/>
      <c r="E278" s="1461"/>
      <c r="I278" s="1452"/>
      <c r="J278" s="1452"/>
      <c r="K278" s="1452"/>
      <c r="L278" s="1452"/>
      <c r="M278" s="1452"/>
      <c r="N278" s="1452"/>
      <c r="O278" s="1452"/>
      <c r="P278" s="1525"/>
      <c r="R278" s="1462"/>
      <c r="S278" s="1462"/>
      <c r="T278" s="1462"/>
      <c r="U278" s="1462"/>
      <c r="V278" s="1462"/>
      <c r="W278" s="1462"/>
      <c r="X278" s="1462"/>
      <c r="Y278" s="1462"/>
    </row>
    <row r="279" spans="1:25" x14ac:dyDescent="0.3">
      <c r="A279" s="2294"/>
      <c r="B279" s="2294"/>
      <c r="C279" s="2294"/>
      <c r="D279" s="2294"/>
      <c r="E279" s="1461"/>
      <c r="I279" s="1452"/>
      <c r="J279" s="1452"/>
      <c r="K279" s="1452"/>
      <c r="L279" s="1452"/>
      <c r="M279" s="1452"/>
      <c r="N279" s="1452"/>
      <c r="O279" s="1452"/>
      <c r="P279" s="1525"/>
      <c r="R279" s="1462"/>
      <c r="S279" s="1462"/>
      <c r="T279" s="1462"/>
      <c r="U279" s="1462"/>
      <c r="V279" s="1462"/>
      <c r="W279" s="1462"/>
      <c r="X279" s="1462"/>
      <c r="Y279" s="1462"/>
    </row>
    <row r="280" spans="1:25" x14ac:dyDescent="0.3">
      <c r="A280" s="2294"/>
      <c r="B280" s="2294"/>
      <c r="C280" s="2294"/>
      <c r="D280" s="2294"/>
      <c r="E280" s="1461"/>
      <c r="I280" s="1452"/>
      <c r="J280" s="1452"/>
      <c r="K280" s="1452"/>
      <c r="L280" s="1452"/>
      <c r="M280" s="1452"/>
      <c r="N280" s="1452"/>
      <c r="O280" s="1452"/>
      <c r="P280" s="1525"/>
      <c r="R280" s="1462"/>
      <c r="S280" s="1462"/>
      <c r="T280" s="1462"/>
      <c r="U280" s="1462"/>
      <c r="V280" s="1462"/>
      <c r="W280" s="1462"/>
      <c r="X280" s="1462"/>
      <c r="Y280" s="1462"/>
    </row>
    <row r="281" spans="1:25" x14ac:dyDescent="0.3">
      <c r="A281" s="2294"/>
      <c r="B281" s="2294"/>
      <c r="C281" s="2294"/>
      <c r="D281" s="2294"/>
      <c r="E281" s="1461"/>
      <c r="I281" s="1452"/>
      <c r="J281" s="1452"/>
      <c r="K281" s="1452"/>
      <c r="L281" s="1452"/>
      <c r="M281" s="1452"/>
      <c r="N281" s="1452"/>
      <c r="O281" s="1452"/>
      <c r="P281" s="1525"/>
      <c r="R281" s="1462"/>
      <c r="S281" s="1462"/>
      <c r="T281" s="1462"/>
      <c r="U281" s="1462"/>
      <c r="V281" s="1462"/>
      <c r="W281" s="1462"/>
      <c r="X281" s="1462"/>
      <c r="Y281" s="1462"/>
    </row>
    <row r="282" spans="1:25" x14ac:dyDescent="0.3">
      <c r="A282" s="2294"/>
      <c r="B282" s="2294"/>
      <c r="C282" s="2294"/>
      <c r="D282" s="2294"/>
      <c r="E282" s="1461"/>
      <c r="I282" s="1452"/>
      <c r="J282" s="1452"/>
      <c r="K282" s="1452"/>
      <c r="L282" s="1452"/>
      <c r="M282" s="1452"/>
      <c r="N282" s="1452"/>
      <c r="O282" s="1452"/>
      <c r="P282" s="1525"/>
      <c r="R282" s="1462"/>
      <c r="S282" s="1462"/>
      <c r="T282" s="1462"/>
      <c r="U282" s="1462"/>
      <c r="V282" s="1462"/>
      <c r="W282" s="1462"/>
      <c r="X282" s="1462"/>
      <c r="Y282" s="1462"/>
    </row>
    <row r="283" spans="1:25" x14ac:dyDescent="0.3">
      <c r="A283" s="2294"/>
      <c r="B283" s="2294"/>
      <c r="C283" s="2294"/>
      <c r="D283" s="2294"/>
      <c r="E283" s="1461"/>
      <c r="I283" s="1452"/>
      <c r="J283" s="1452"/>
      <c r="K283" s="1452"/>
      <c r="L283" s="1452"/>
      <c r="M283" s="1452"/>
      <c r="N283" s="1452"/>
      <c r="O283" s="1452"/>
      <c r="P283" s="1525"/>
      <c r="R283" s="1462"/>
      <c r="S283" s="1462"/>
      <c r="T283" s="1462"/>
      <c r="U283" s="1462"/>
      <c r="V283" s="1462"/>
      <c r="W283" s="1462"/>
      <c r="X283" s="1462"/>
      <c r="Y283" s="1462"/>
    </row>
    <row r="284" spans="1:25" x14ac:dyDescent="0.3">
      <c r="A284" s="2294"/>
      <c r="B284" s="2294"/>
      <c r="C284" s="2294"/>
      <c r="D284" s="2294"/>
      <c r="E284" s="1461"/>
      <c r="I284" s="1452"/>
      <c r="J284" s="1452"/>
      <c r="K284" s="1452"/>
      <c r="L284" s="1452"/>
      <c r="M284" s="1452"/>
      <c r="N284" s="1452"/>
      <c r="O284" s="1452"/>
      <c r="P284" s="1525"/>
      <c r="R284" s="1462"/>
      <c r="S284" s="1462"/>
      <c r="T284" s="1462"/>
      <c r="U284" s="1462"/>
      <c r="V284" s="1462"/>
      <c r="W284" s="1462"/>
      <c r="X284" s="1462"/>
      <c r="Y284" s="1462"/>
    </row>
    <row r="285" spans="1:25" x14ac:dyDescent="0.3">
      <c r="A285" s="2294"/>
      <c r="B285" s="2294"/>
      <c r="C285" s="2294"/>
      <c r="D285" s="2294"/>
      <c r="E285" s="1461"/>
      <c r="I285" s="1452"/>
      <c r="J285" s="1452"/>
      <c r="K285" s="1452"/>
      <c r="L285" s="1452"/>
      <c r="M285" s="1452"/>
      <c r="N285" s="1452"/>
      <c r="O285" s="1452"/>
      <c r="P285" s="1525"/>
      <c r="R285" s="1462"/>
      <c r="S285" s="1462"/>
      <c r="T285" s="1462"/>
      <c r="U285" s="1462"/>
      <c r="V285" s="1462"/>
      <c r="W285" s="1462"/>
      <c r="X285" s="1462"/>
      <c r="Y285" s="1462"/>
    </row>
    <row r="286" spans="1:25" x14ac:dyDescent="0.3">
      <c r="A286" s="2294"/>
      <c r="B286" s="2294"/>
      <c r="C286" s="2294"/>
      <c r="D286" s="2294"/>
      <c r="E286" s="1461"/>
      <c r="I286" s="1452"/>
      <c r="J286" s="1452"/>
      <c r="K286" s="1452"/>
      <c r="L286" s="1452"/>
      <c r="M286" s="1452"/>
      <c r="N286" s="1452"/>
      <c r="O286" s="1452"/>
      <c r="P286" s="1525"/>
      <c r="R286" s="1462"/>
      <c r="S286" s="1462"/>
      <c r="T286" s="1462"/>
      <c r="U286" s="1462"/>
      <c r="V286" s="1462"/>
      <c r="W286" s="1462"/>
      <c r="X286" s="1462"/>
      <c r="Y286" s="1462"/>
    </row>
    <row r="287" spans="1:25" x14ac:dyDescent="0.3">
      <c r="A287" s="2294"/>
      <c r="B287" s="2294"/>
      <c r="C287" s="2294"/>
      <c r="D287" s="2294"/>
      <c r="E287" s="1461"/>
      <c r="I287" s="1452"/>
      <c r="J287" s="1452"/>
      <c r="K287" s="1452"/>
      <c r="L287" s="1452"/>
      <c r="M287" s="1452"/>
      <c r="N287" s="1452"/>
      <c r="O287" s="1452"/>
      <c r="P287" s="1445"/>
      <c r="R287" s="1462"/>
      <c r="S287" s="1462"/>
      <c r="T287" s="1462"/>
      <c r="U287" s="1462"/>
      <c r="V287" s="1462"/>
      <c r="W287" s="1462"/>
      <c r="X287" s="1462"/>
      <c r="Y287" s="1462"/>
    </row>
    <row r="288" spans="1:25" x14ac:dyDescent="0.3">
      <c r="A288" s="2294"/>
      <c r="B288" s="2294"/>
      <c r="C288" s="2294"/>
      <c r="D288" s="2294"/>
      <c r="E288" s="1461"/>
      <c r="I288" s="1452"/>
      <c r="J288" s="1452"/>
      <c r="K288" s="1452"/>
      <c r="L288" s="1452"/>
      <c r="M288" s="1452"/>
      <c r="N288" s="1452"/>
      <c r="O288" s="1452"/>
      <c r="P288" s="1445"/>
      <c r="R288" s="1462"/>
      <c r="S288" s="1462"/>
      <c r="T288" s="1462"/>
      <c r="U288" s="1462"/>
      <c r="V288" s="1462"/>
      <c r="W288" s="1462"/>
      <c r="X288" s="1462"/>
      <c r="Y288" s="1462"/>
    </row>
    <row r="289" spans="1:25" x14ac:dyDescent="0.3">
      <c r="A289" s="2294"/>
      <c r="B289" s="2294"/>
      <c r="C289" s="2294"/>
      <c r="D289" s="2294"/>
      <c r="E289" s="1461"/>
      <c r="I289" s="1452"/>
      <c r="J289" s="1452"/>
      <c r="K289" s="1452"/>
      <c r="L289" s="1452"/>
      <c r="M289" s="1452"/>
      <c r="N289" s="1452"/>
      <c r="O289" s="1452"/>
      <c r="P289" s="1445"/>
      <c r="R289" s="1462"/>
      <c r="S289" s="1462"/>
      <c r="T289" s="1462"/>
      <c r="U289" s="1462"/>
      <c r="V289" s="1462"/>
      <c r="W289" s="1462"/>
      <c r="X289" s="1462"/>
      <c r="Y289" s="1462"/>
    </row>
    <row r="290" spans="1:25" x14ac:dyDescent="0.3">
      <c r="A290" s="2294"/>
      <c r="B290" s="2294"/>
      <c r="C290" s="2294"/>
      <c r="D290" s="2294"/>
      <c r="E290" s="1461"/>
      <c r="I290" s="1452"/>
      <c r="J290" s="1452"/>
      <c r="K290" s="1452"/>
      <c r="L290" s="1452"/>
      <c r="M290" s="1452"/>
      <c r="N290" s="1452"/>
      <c r="O290" s="1452"/>
      <c r="P290" s="1445"/>
      <c r="R290" s="1462"/>
      <c r="S290" s="1462"/>
      <c r="T290" s="1462"/>
      <c r="U290" s="1462"/>
      <c r="V290" s="1462"/>
      <c r="W290" s="1462"/>
      <c r="X290" s="1462"/>
      <c r="Y290" s="1462"/>
    </row>
    <row r="291" spans="1:25" x14ac:dyDescent="0.3">
      <c r="A291" s="2294"/>
      <c r="B291" s="2294"/>
      <c r="C291" s="2294"/>
      <c r="D291" s="2294"/>
      <c r="E291" s="1461"/>
      <c r="I291" s="1452"/>
      <c r="J291" s="1452"/>
      <c r="K291" s="1452"/>
      <c r="L291" s="1452"/>
      <c r="M291" s="1452"/>
      <c r="N291" s="1452"/>
      <c r="O291" s="1452"/>
      <c r="P291" s="1445"/>
      <c r="R291" s="1462"/>
      <c r="S291" s="1462"/>
      <c r="T291" s="1462"/>
      <c r="U291" s="1462"/>
      <c r="V291" s="1462"/>
      <c r="W291" s="1462"/>
      <c r="X291" s="1462"/>
      <c r="Y291" s="1462"/>
    </row>
    <row r="292" spans="1:25" x14ac:dyDescent="0.3">
      <c r="A292" s="2294"/>
      <c r="B292" s="2294"/>
      <c r="C292" s="2294"/>
      <c r="D292" s="2294"/>
      <c r="E292" s="1461"/>
      <c r="I292" s="1452"/>
      <c r="J292" s="1452"/>
      <c r="K292" s="1452"/>
      <c r="L292" s="1452"/>
      <c r="M292" s="1452"/>
      <c r="N292" s="1452"/>
      <c r="O292" s="1452"/>
      <c r="P292" s="1445"/>
      <c r="R292" s="1462"/>
      <c r="S292" s="1462"/>
      <c r="T292" s="1462"/>
      <c r="U292" s="1462"/>
      <c r="V292" s="1462"/>
      <c r="W292" s="1462"/>
      <c r="X292" s="1462"/>
      <c r="Y292" s="1462"/>
    </row>
    <row r="293" spans="1:25" x14ac:dyDescent="0.3">
      <c r="A293" s="2294"/>
      <c r="B293" s="2294"/>
      <c r="C293" s="2294"/>
      <c r="D293" s="2294"/>
      <c r="E293" s="1461"/>
      <c r="I293" s="1452"/>
      <c r="J293" s="1452"/>
      <c r="K293" s="1452"/>
      <c r="L293" s="1452"/>
      <c r="M293" s="1452"/>
      <c r="N293" s="1452"/>
      <c r="O293" s="1452"/>
      <c r="P293" s="1445"/>
      <c r="R293" s="1462"/>
      <c r="S293" s="1462"/>
      <c r="T293" s="1462"/>
      <c r="U293" s="1462"/>
      <c r="V293" s="1462"/>
      <c r="W293" s="1462"/>
      <c r="X293" s="1462"/>
      <c r="Y293" s="1462"/>
    </row>
    <row r="294" spans="1:25" x14ac:dyDescent="0.3">
      <c r="A294" s="2294"/>
      <c r="B294" s="2294"/>
      <c r="C294" s="2294"/>
      <c r="D294" s="2294"/>
      <c r="E294" s="1461"/>
      <c r="I294" s="1452"/>
      <c r="J294" s="1452"/>
      <c r="K294" s="1452"/>
      <c r="L294" s="1452"/>
      <c r="M294" s="1452"/>
      <c r="N294" s="1452"/>
      <c r="O294" s="1452"/>
      <c r="P294" s="1445"/>
      <c r="R294" s="1462"/>
      <c r="S294" s="1462"/>
      <c r="T294" s="1462"/>
      <c r="U294" s="1462"/>
      <c r="V294" s="1462"/>
      <c r="W294" s="1462"/>
      <c r="X294" s="1462"/>
      <c r="Y294" s="1462"/>
    </row>
    <row r="295" spans="1:25" x14ac:dyDescent="0.3">
      <c r="A295" s="2294"/>
      <c r="B295" s="2294"/>
      <c r="C295" s="2294"/>
      <c r="D295" s="2294"/>
      <c r="E295" s="1461"/>
      <c r="I295" s="1452"/>
      <c r="J295" s="1452"/>
      <c r="K295" s="1452"/>
      <c r="L295" s="1452"/>
      <c r="M295" s="1452"/>
      <c r="N295" s="1452"/>
      <c r="O295" s="1452"/>
      <c r="P295" s="1445"/>
      <c r="R295" s="1462"/>
      <c r="S295" s="1462"/>
      <c r="T295" s="1462"/>
      <c r="U295" s="1462"/>
      <c r="V295" s="1462"/>
      <c r="W295" s="1462"/>
      <c r="X295" s="1462"/>
      <c r="Y295" s="1462"/>
    </row>
    <row r="296" spans="1:25" x14ac:dyDescent="0.3">
      <c r="A296" s="2294"/>
      <c r="B296" s="2294"/>
      <c r="C296" s="2294"/>
      <c r="D296" s="2294"/>
      <c r="E296" s="1461"/>
      <c r="I296" s="1452"/>
      <c r="J296" s="1452"/>
      <c r="K296" s="1452"/>
      <c r="L296" s="1452"/>
      <c r="M296" s="1452"/>
      <c r="N296" s="1452"/>
      <c r="O296" s="1452"/>
      <c r="P296" s="1445"/>
      <c r="R296" s="1462"/>
      <c r="S296" s="1462"/>
      <c r="T296" s="1462"/>
      <c r="U296" s="1462"/>
      <c r="V296" s="1462"/>
      <c r="W296" s="1462"/>
      <c r="X296" s="1462"/>
      <c r="Y296" s="1462"/>
    </row>
    <row r="297" spans="1:25" x14ac:dyDescent="0.3">
      <c r="A297" s="2294"/>
      <c r="B297" s="2294"/>
      <c r="C297" s="2294"/>
      <c r="D297" s="2294"/>
      <c r="E297" s="1461"/>
      <c r="I297" s="1452"/>
      <c r="J297" s="1452"/>
      <c r="K297" s="1452"/>
      <c r="L297" s="1452"/>
      <c r="M297" s="1452"/>
      <c r="N297" s="1452"/>
      <c r="O297" s="1452"/>
      <c r="P297" s="1445"/>
      <c r="R297" s="1462"/>
      <c r="S297" s="1462"/>
      <c r="T297" s="1462"/>
      <c r="U297" s="1462"/>
      <c r="V297" s="1462"/>
      <c r="W297" s="1462"/>
      <c r="X297" s="1462"/>
      <c r="Y297" s="1462"/>
    </row>
    <row r="298" spans="1:25" x14ac:dyDescent="0.3">
      <c r="A298" s="2294"/>
      <c r="B298" s="2294"/>
      <c r="C298" s="2294"/>
      <c r="D298" s="2294"/>
      <c r="E298" s="1461"/>
      <c r="I298" s="1452"/>
      <c r="J298" s="1452"/>
      <c r="K298" s="1452"/>
      <c r="L298" s="1452"/>
      <c r="M298" s="1452"/>
      <c r="N298" s="1452"/>
      <c r="O298" s="1452"/>
      <c r="P298" s="1445"/>
      <c r="R298" s="1462"/>
      <c r="S298" s="1462"/>
      <c r="T298" s="1462"/>
      <c r="U298" s="1462"/>
      <c r="V298" s="1462"/>
      <c r="W298" s="1462"/>
      <c r="X298" s="1462"/>
      <c r="Y298" s="1462"/>
    </row>
    <row r="299" spans="1:25" x14ac:dyDescent="0.3">
      <c r="A299" s="2294"/>
      <c r="B299" s="2294"/>
      <c r="C299" s="2294"/>
      <c r="D299" s="2294"/>
      <c r="E299" s="1461"/>
      <c r="I299" s="1452"/>
      <c r="J299" s="1452"/>
      <c r="K299" s="1452"/>
      <c r="L299" s="1452"/>
      <c r="M299" s="1452"/>
      <c r="N299" s="1452"/>
      <c r="O299" s="1452"/>
      <c r="P299" s="1445"/>
      <c r="R299" s="1462"/>
      <c r="S299" s="1462"/>
      <c r="T299" s="1462"/>
      <c r="U299" s="1462"/>
      <c r="V299" s="1462"/>
      <c r="W299" s="1462"/>
      <c r="X299" s="1462"/>
      <c r="Y299" s="1462"/>
    </row>
    <row r="300" spans="1:25" x14ac:dyDescent="0.3">
      <c r="A300" s="2294"/>
      <c r="B300" s="2294"/>
      <c r="C300" s="2294"/>
      <c r="D300" s="2294"/>
      <c r="E300" s="1461"/>
      <c r="I300" s="1452"/>
      <c r="J300" s="1452"/>
      <c r="K300" s="1452"/>
      <c r="L300" s="1452"/>
      <c r="M300" s="1452"/>
      <c r="N300" s="1452"/>
      <c r="O300" s="1452"/>
      <c r="P300" s="1445"/>
      <c r="R300" s="1462"/>
      <c r="S300" s="1462"/>
      <c r="T300" s="1462"/>
      <c r="U300" s="1462"/>
      <c r="V300" s="1462"/>
      <c r="W300" s="1462"/>
      <c r="X300" s="1462"/>
      <c r="Y300" s="1462"/>
    </row>
    <row r="301" spans="1:25" x14ac:dyDescent="0.3">
      <c r="A301" s="2294"/>
      <c r="B301" s="2294"/>
      <c r="C301" s="2294"/>
      <c r="D301" s="2294"/>
      <c r="E301" s="1461"/>
      <c r="I301" s="1452"/>
      <c r="J301" s="1452"/>
      <c r="K301" s="1452"/>
      <c r="L301" s="1452"/>
      <c r="M301" s="1452"/>
      <c r="N301" s="1452"/>
      <c r="O301" s="1452"/>
      <c r="P301" s="1463"/>
      <c r="R301" s="1462"/>
      <c r="S301" s="1462"/>
      <c r="T301" s="1462"/>
      <c r="U301" s="1462"/>
      <c r="V301" s="1462"/>
      <c r="W301" s="1462"/>
      <c r="X301" s="1462"/>
      <c r="Y301" s="1462"/>
    </row>
    <row r="302" spans="1:25" x14ac:dyDescent="0.3">
      <c r="A302" s="2294"/>
      <c r="B302" s="2294"/>
      <c r="C302" s="2294"/>
      <c r="D302" s="2294"/>
      <c r="E302" s="1461"/>
      <c r="I302" s="1452"/>
      <c r="J302" s="1452"/>
      <c r="K302" s="1452"/>
      <c r="L302" s="1452"/>
      <c r="M302" s="1452"/>
      <c r="N302" s="1452"/>
      <c r="O302" s="1452"/>
      <c r="P302" s="1445"/>
      <c r="R302" s="1462"/>
      <c r="S302" s="1462"/>
      <c r="T302" s="1462"/>
      <c r="U302" s="1462"/>
      <c r="V302" s="1462"/>
      <c r="W302" s="1462"/>
      <c r="X302" s="1462"/>
      <c r="Y302" s="1462"/>
    </row>
    <row r="303" spans="1:25" x14ac:dyDescent="0.3">
      <c r="A303" s="2294"/>
      <c r="B303" s="2294"/>
      <c r="C303" s="2294"/>
      <c r="D303" s="2294"/>
      <c r="E303" s="1461"/>
      <c r="I303" s="1452"/>
      <c r="J303" s="1452"/>
      <c r="K303" s="1452"/>
      <c r="L303" s="1452"/>
      <c r="M303" s="1452"/>
      <c r="N303" s="1452"/>
      <c r="O303" s="1452"/>
      <c r="P303" s="1445"/>
      <c r="R303" s="1462"/>
      <c r="S303" s="1462"/>
      <c r="T303" s="1462"/>
      <c r="U303" s="1462"/>
      <c r="V303" s="1462"/>
      <c r="W303" s="1462"/>
      <c r="X303" s="1462"/>
      <c r="Y303" s="1462"/>
    </row>
    <row r="304" spans="1:25" x14ac:dyDescent="0.3">
      <c r="A304" s="2294"/>
      <c r="B304" s="2294"/>
      <c r="C304" s="2294"/>
      <c r="D304" s="2294"/>
      <c r="E304" s="1461"/>
      <c r="I304" s="1452"/>
      <c r="J304" s="1452"/>
      <c r="K304" s="1452"/>
      <c r="L304" s="1452"/>
      <c r="M304" s="1452"/>
      <c r="N304" s="1452"/>
      <c r="O304" s="1452"/>
      <c r="P304" s="1445"/>
      <c r="R304" s="1462"/>
      <c r="S304" s="1462"/>
      <c r="T304" s="1462"/>
      <c r="U304" s="1462"/>
      <c r="V304" s="1462"/>
      <c r="W304" s="1462"/>
      <c r="X304" s="1462"/>
      <c r="Y304" s="1462"/>
    </row>
    <row r="305" spans="1:25" x14ac:dyDescent="0.3">
      <c r="A305" s="2294"/>
      <c r="B305" s="2294"/>
      <c r="C305" s="2294"/>
      <c r="D305" s="2294"/>
      <c r="E305" s="1461"/>
      <c r="I305" s="1452"/>
      <c r="J305" s="1452"/>
      <c r="K305" s="1452"/>
      <c r="L305" s="1452"/>
      <c r="M305" s="1452"/>
      <c r="N305" s="1452"/>
      <c r="O305" s="1452"/>
      <c r="P305" s="1445"/>
      <c r="R305" s="1462"/>
      <c r="S305" s="1462"/>
      <c r="T305" s="1462"/>
      <c r="U305" s="1462"/>
      <c r="V305" s="1462"/>
      <c r="W305" s="1462"/>
      <c r="X305" s="1462"/>
      <c r="Y305" s="1462"/>
    </row>
    <row r="306" spans="1:25" x14ac:dyDescent="0.3">
      <c r="A306" s="2294"/>
      <c r="B306" s="2294"/>
      <c r="C306" s="2294"/>
      <c r="D306" s="2294"/>
      <c r="E306" s="1461"/>
      <c r="I306" s="1452"/>
      <c r="J306" s="1452"/>
      <c r="K306" s="1452"/>
      <c r="L306" s="1452"/>
      <c r="M306" s="1452"/>
      <c r="N306" s="1452"/>
      <c r="O306" s="1452"/>
      <c r="P306" s="1445"/>
      <c r="R306" s="1462"/>
      <c r="S306" s="1462"/>
      <c r="T306" s="1462"/>
      <c r="U306" s="1462"/>
      <c r="V306" s="1462"/>
      <c r="W306" s="1462"/>
      <c r="X306" s="1462"/>
      <c r="Y306" s="1462"/>
    </row>
    <row r="307" spans="1:25" x14ac:dyDescent="0.3">
      <c r="A307" s="2294"/>
      <c r="B307" s="2294"/>
      <c r="C307" s="2294"/>
      <c r="D307" s="2294"/>
      <c r="E307" s="1461"/>
      <c r="I307" s="1452"/>
      <c r="J307" s="1452"/>
      <c r="K307" s="1452"/>
      <c r="L307" s="1452"/>
      <c r="M307" s="1452"/>
      <c r="N307" s="1452"/>
      <c r="O307" s="1452"/>
      <c r="P307" s="1445"/>
      <c r="R307" s="1462"/>
      <c r="S307" s="1462"/>
      <c r="T307" s="1462"/>
      <c r="U307" s="1462"/>
      <c r="V307" s="1462"/>
      <c r="W307" s="1462"/>
      <c r="X307" s="1462"/>
      <c r="Y307" s="1462"/>
    </row>
    <row r="308" spans="1:25" x14ac:dyDescent="0.3">
      <c r="A308" s="2294"/>
      <c r="B308" s="2294"/>
      <c r="C308" s="2294"/>
      <c r="D308" s="2294"/>
      <c r="E308" s="1461"/>
      <c r="I308" s="1452"/>
      <c r="J308" s="1452"/>
      <c r="K308" s="1452"/>
      <c r="L308" s="1452"/>
      <c r="M308" s="1452"/>
      <c r="N308" s="1452"/>
      <c r="O308" s="1452"/>
      <c r="P308" s="1445"/>
      <c r="R308" s="1462"/>
      <c r="S308" s="1462"/>
      <c r="T308" s="1462"/>
      <c r="U308" s="1462"/>
      <c r="V308" s="1462"/>
      <c r="W308" s="1462"/>
      <c r="X308" s="1462"/>
      <c r="Y308" s="1462"/>
    </row>
    <row r="309" spans="1:25" x14ac:dyDescent="0.3">
      <c r="A309" s="2294"/>
      <c r="B309" s="2294"/>
      <c r="C309" s="2294"/>
      <c r="D309" s="2294"/>
      <c r="E309" s="1461"/>
      <c r="I309" s="1452"/>
      <c r="J309" s="1452"/>
      <c r="K309" s="1452"/>
      <c r="L309" s="1452"/>
      <c r="M309" s="1452"/>
      <c r="N309" s="1452"/>
      <c r="O309" s="1452"/>
      <c r="P309" s="1445"/>
      <c r="R309" s="1462"/>
      <c r="S309" s="1462"/>
      <c r="T309" s="1462"/>
      <c r="U309" s="1462"/>
      <c r="V309" s="1462"/>
      <c r="W309" s="1462"/>
      <c r="X309" s="1462"/>
      <c r="Y309" s="1462"/>
    </row>
    <row r="310" spans="1:25" x14ac:dyDescent="0.3">
      <c r="A310" s="2294"/>
      <c r="B310" s="2294"/>
      <c r="C310" s="2294"/>
      <c r="D310" s="2294"/>
      <c r="E310" s="1461"/>
      <c r="I310" s="1452"/>
      <c r="J310" s="1452"/>
      <c r="K310" s="1452"/>
      <c r="L310" s="1452"/>
      <c r="M310" s="1452"/>
      <c r="N310" s="1452"/>
      <c r="O310" s="1452"/>
      <c r="P310" s="1463"/>
      <c r="R310" s="1462"/>
      <c r="S310" s="1462"/>
      <c r="T310" s="1462"/>
      <c r="U310" s="1462"/>
      <c r="V310" s="1462"/>
      <c r="W310" s="1462"/>
      <c r="X310" s="1462"/>
      <c r="Y310" s="1462"/>
    </row>
    <row r="311" spans="1:25" x14ac:dyDescent="0.3">
      <c r="A311" s="2294"/>
      <c r="B311" s="2294"/>
      <c r="C311" s="2294"/>
      <c r="D311" s="2294"/>
      <c r="E311" s="1461"/>
      <c r="I311" s="1452"/>
      <c r="J311" s="1452"/>
      <c r="K311" s="1452"/>
      <c r="L311" s="1452"/>
      <c r="M311" s="1452"/>
      <c r="N311" s="1452"/>
      <c r="O311" s="1452"/>
      <c r="P311" s="1445"/>
      <c r="R311" s="1462"/>
      <c r="S311" s="1462"/>
      <c r="T311" s="1462"/>
      <c r="U311" s="1462"/>
      <c r="V311" s="1462"/>
      <c r="W311" s="1462"/>
      <c r="X311" s="1462"/>
      <c r="Y311" s="1462"/>
    </row>
    <row r="312" spans="1:25" x14ac:dyDescent="0.3">
      <c r="A312" s="2294"/>
      <c r="B312" s="2294"/>
      <c r="C312" s="2294"/>
      <c r="D312" s="2294"/>
      <c r="E312" s="1461"/>
      <c r="I312" s="1452"/>
      <c r="J312" s="1452"/>
      <c r="K312" s="1452"/>
      <c r="L312" s="1452"/>
      <c r="M312" s="1452"/>
      <c r="N312" s="1452"/>
      <c r="O312" s="1452"/>
      <c r="P312" s="1445"/>
      <c r="R312" s="1462"/>
      <c r="S312" s="1462"/>
      <c r="T312" s="1462"/>
      <c r="U312" s="1462"/>
      <c r="V312" s="1462"/>
      <c r="W312" s="1462"/>
      <c r="X312" s="1462"/>
      <c r="Y312" s="1462"/>
    </row>
    <row r="313" spans="1:25" x14ac:dyDescent="0.3">
      <c r="A313" s="2294"/>
      <c r="B313" s="2294"/>
      <c r="C313" s="2294"/>
      <c r="D313" s="2294"/>
      <c r="E313" s="1461"/>
      <c r="I313" s="1452"/>
      <c r="J313" s="1452"/>
      <c r="K313" s="1452"/>
      <c r="L313" s="1452"/>
      <c r="M313" s="1452"/>
      <c r="N313" s="1452"/>
      <c r="O313" s="1452"/>
      <c r="P313" s="1445"/>
      <c r="R313" s="1462"/>
      <c r="S313" s="1462"/>
      <c r="T313" s="1462"/>
      <c r="U313" s="1462"/>
      <c r="V313" s="1462"/>
      <c r="W313" s="1462"/>
      <c r="X313" s="1462"/>
      <c r="Y313" s="1462"/>
    </row>
    <row r="314" spans="1:25" x14ac:dyDescent="0.3">
      <c r="A314" s="2294"/>
      <c r="B314" s="2294"/>
      <c r="C314" s="2294"/>
      <c r="D314" s="2294"/>
      <c r="E314" s="1461"/>
      <c r="I314" s="1452"/>
      <c r="J314" s="1452"/>
      <c r="K314" s="1452"/>
      <c r="L314" s="1452"/>
      <c r="M314" s="1452"/>
      <c r="N314" s="1452"/>
      <c r="O314" s="1452"/>
      <c r="P314" s="1445"/>
      <c r="R314" s="1462"/>
      <c r="S314" s="1462"/>
      <c r="T314" s="1462"/>
      <c r="U314" s="1462"/>
      <c r="V314" s="1462"/>
      <c r="W314" s="1462"/>
      <c r="X314" s="1462"/>
      <c r="Y314" s="1462"/>
    </row>
    <row r="315" spans="1:25" x14ac:dyDescent="0.3">
      <c r="A315" s="2294"/>
      <c r="B315" s="2294"/>
      <c r="C315" s="2294"/>
      <c r="D315" s="2294"/>
      <c r="E315" s="1461"/>
      <c r="I315" s="1452"/>
      <c r="J315" s="1452"/>
      <c r="K315" s="1452"/>
      <c r="L315" s="1452"/>
      <c r="M315" s="1452"/>
      <c r="N315" s="1452"/>
      <c r="O315" s="1452"/>
      <c r="P315" s="1445"/>
      <c r="R315" s="1462"/>
      <c r="S315" s="1462"/>
      <c r="T315" s="1462"/>
      <c r="U315" s="1462"/>
      <c r="V315" s="1462"/>
      <c r="W315" s="1462"/>
      <c r="X315" s="1462"/>
      <c r="Y315" s="1462"/>
    </row>
    <row r="316" spans="1:25" x14ac:dyDescent="0.3">
      <c r="A316" s="2294"/>
      <c r="B316" s="2294"/>
      <c r="C316" s="2294"/>
      <c r="D316" s="2294"/>
      <c r="E316" s="1461"/>
      <c r="I316" s="1452"/>
      <c r="J316" s="1452"/>
      <c r="K316" s="1452"/>
      <c r="L316" s="1452"/>
      <c r="M316" s="1452"/>
      <c r="N316" s="1452"/>
      <c r="O316" s="1452"/>
      <c r="P316" s="1445"/>
      <c r="R316" s="1462"/>
      <c r="S316" s="1462"/>
      <c r="T316" s="1462"/>
      <c r="U316" s="1462"/>
      <c r="V316" s="1462"/>
      <c r="W316" s="1462"/>
      <c r="X316" s="1462"/>
      <c r="Y316" s="1462"/>
    </row>
    <row r="317" spans="1:25" x14ac:dyDescent="0.3">
      <c r="A317" s="2294"/>
      <c r="B317" s="2294"/>
      <c r="C317" s="2294"/>
      <c r="D317" s="2294"/>
      <c r="E317" s="1461"/>
      <c r="I317" s="1452"/>
      <c r="J317" s="1452"/>
      <c r="K317" s="1452"/>
      <c r="L317" s="1452"/>
      <c r="M317" s="1452"/>
      <c r="N317" s="1452"/>
      <c r="O317" s="1452"/>
      <c r="P317" s="1445"/>
      <c r="R317" s="1462"/>
      <c r="S317" s="1462"/>
      <c r="T317" s="1462"/>
      <c r="U317" s="1462"/>
      <c r="V317" s="1462"/>
      <c r="W317" s="1462"/>
      <c r="X317" s="1462"/>
      <c r="Y317" s="1462"/>
    </row>
    <row r="318" spans="1:25" x14ac:dyDescent="0.3">
      <c r="A318" s="2294"/>
      <c r="B318" s="2294"/>
      <c r="C318" s="2294"/>
      <c r="D318" s="2294"/>
      <c r="E318" s="1461"/>
      <c r="I318" s="1452"/>
      <c r="J318" s="1452"/>
      <c r="K318" s="1452"/>
      <c r="L318" s="1452"/>
      <c r="M318" s="1452"/>
      <c r="N318" s="1452"/>
      <c r="O318" s="1452"/>
      <c r="P318" s="1445"/>
      <c r="R318" s="1462"/>
      <c r="S318" s="1462"/>
      <c r="T318" s="1462"/>
      <c r="U318" s="1462"/>
      <c r="V318" s="1462"/>
      <c r="W318" s="1462"/>
      <c r="X318" s="1462"/>
      <c r="Y318" s="1462"/>
    </row>
    <row r="319" spans="1:25" x14ac:dyDescent="0.3">
      <c r="A319" s="2294"/>
      <c r="B319" s="2294"/>
      <c r="C319" s="2294"/>
      <c r="D319" s="2294"/>
      <c r="E319" s="1461"/>
      <c r="I319" s="1452"/>
      <c r="J319" s="1452"/>
      <c r="K319" s="1452"/>
      <c r="L319" s="1452"/>
      <c r="M319" s="1452"/>
      <c r="N319" s="1452"/>
      <c r="O319" s="1452"/>
      <c r="P319" s="1445"/>
      <c r="R319" s="1462"/>
      <c r="S319" s="1462"/>
      <c r="T319" s="1462"/>
      <c r="U319" s="1462"/>
      <c r="V319" s="1462"/>
      <c r="W319" s="1462"/>
      <c r="X319" s="1462"/>
      <c r="Y319" s="1462"/>
    </row>
    <row r="320" spans="1:25" x14ac:dyDescent="0.3">
      <c r="A320" s="2294"/>
      <c r="B320" s="2294"/>
      <c r="C320" s="2294"/>
      <c r="D320" s="2294"/>
      <c r="E320" s="1461"/>
      <c r="I320" s="1452"/>
      <c r="J320" s="1452"/>
      <c r="K320" s="1452"/>
      <c r="L320" s="1452"/>
      <c r="M320" s="1452"/>
      <c r="N320" s="1452"/>
      <c r="O320" s="1452"/>
      <c r="P320" s="1445"/>
      <c r="R320" s="1462"/>
      <c r="S320" s="1462"/>
      <c r="T320" s="1462"/>
      <c r="U320" s="1462"/>
      <c r="V320" s="1462"/>
      <c r="W320" s="1462"/>
      <c r="X320" s="1462"/>
      <c r="Y320" s="1462"/>
    </row>
    <row r="321" spans="1:25" x14ac:dyDescent="0.3">
      <c r="A321" s="2294"/>
      <c r="B321" s="2294"/>
      <c r="C321" s="2294"/>
      <c r="D321" s="2294"/>
      <c r="E321" s="1461"/>
      <c r="I321" s="1452"/>
      <c r="J321" s="1452"/>
      <c r="K321" s="1452"/>
      <c r="L321" s="1452"/>
      <c r="M321" s="1452"/>
      <c r="N321" s="1452"/>
      <c r="O321" s="1452"/>
      <c r="P321" s="1445"/>
      <c r="R321" s="1462"/>
      <c r="S321" s="1462"/>
      <c r="T321" s="1462"/>
      <c r="U321" s="1462"/>
      <c r="V321" s="1462"/>
      <c r="W321" s="1462"/>
      <c r="X321" s="1462"/>
      <c r="Y321" s="1462"/>
    </row>
    <row r="322" spans="1:25" x14ac:dyDescent="0.3">
      <c r="A322" s="2294"/>
      <c r="B322" s="2294"/>
      <c r="C322" s="2294"/>
      <c r="D322" s="2294"/>
      <c r="E322" s="1461"/>
      <c r="I322" s="1452"/>
      <c r="J322" s="1452"/>
      <c r="K322" s="1452"/>
      <c r="L322" s="1452"/>
      <c r="M322" s="1452"/>
      <c r="N322" s="1452"/>
      <c r="O322" s="1452"/>
      <c r="P322" s="1445"/>
      <c r="R322" s="1462"/>
      <c r="S322" s="1462"/>
      <c r="T322" s="1462"/>
      <c r="U322" s="1462"/>
      <c r="V322" s="1462"/>
      <c r="W322" s="1462"/>
      <c r="X322" s="1462"/>
      <c r="Y322" s="1462"/>
    </row>
    <row r="323" spans="1:25" x14ac:dyDescent="0.3">
      <c r="A323" s="2294"/>
      <c r="B323" s="2294"/>
      <c r="C323" s="2294"/>
      <c r="D323" s="2294"/>
      <c r="E323" s="1461"/>
      <c r="I323" s="1452"/>
      <c r="J323" s="1452"/>
      <c r="K323" s="1452"/>
      <c r="L323" s="1452"/>
      <c r="M323" s="1452"/>
      <c r="N323" s="1452"/>
      <c r="O323" s="1452"/>
      <c r="P323" s="1445"/>
      <c r="R323" s="1462"/>
      <c r="S323" s="1462"/>
      <c r="T323" s="1462"/>
      <c r="U323" s="1462"/>
      <c r="V323" s="1462"/>
      <c r="W323" s="1462"/>
      <c r="X323" s="1462"/>
      <c r="Y323" s="1462"/>
    </row>
    <row r="324" spans="1:25" x14ac:dyDescent="0.3">
      <c r="A324" s="2294"/>
      <c r="B324" s="2294"/>
      <c r="C324" s="2294"/>
      <c r="D324" s="2294"/>
      <c r="E324" s="1461"/>
      <c r="I324" s="1452"/>
      <c r="J324" s="1452"/>
      <c r="K324" s="1452"/>
      <c r="L324" s="1452"/>
      <c r="M324" s="1452"/>
      <c r="N324" s="1452"/>
      <c r="O324" s="1452"/>
      <c r="P324" s="1445"/>
      <c r="R324" s="1462"/>
      <c r="S324" s="1462"/>
      <c r="T324" s="1462"/>
      <c r="U324" s="1462"/>
      <c r="V324" s="1462"/>
      <c r="W324" s="1462"/>
      <c r="X324" s="1462"/>
      <c r="Y324" s="1462"/>
    </row>
    <row r="325" spans="1:25" x14ac:dyDescent="0.3">
      <c r="A325" s="2294"/>
      <c r="B325" s="2294"/>
      <c r="C325" s="2294"/>
      <c r="D325" s="2294"/>
      <c r="E325" s="1461"/>
      <c r="I325" s="1452"/>
      <c r="J325" s="1452"/>
      <c r="K325" s="1452"/>
      <c r="L325" s="1452"/>
      <c r="M325" s="1452"/>
      <c r="N325" s="1452"/>
      <c r="O325" s="1452"/>
      <c r="P325" s="1445"/>
      <c r="R325" s="1462"/>
      <c r="S325" s="1462"/>
      <c r="T325" s="1462"/>
      <c r="U325" s="1462"/>
      <c r="V325" s="1462"/>
      <c r="W325" s="1462"/>
      <c r="X325" s="1462"/>
      <c r="Y325" s="1462"/>
    </row>
    <row r="326" spans="1:25" x14ac:dyDescent="0.3">
      <c r="A326" s="2294"/>
      <c r="B326" s="2294"/>
      <c r="C326" s="2294"/>
      <c r="D326" s="2294"/>
      <c r="E326" s="1461"/>
      <c r="I326" s="1452"/>
      <c r="J326" s="1452"/>
      <c r="K326" s="1452"/>
      <c r="L326" s="1452"/>
      <c r="M326" s="1452"/>
      <c r="N326" s="1452"/>
      <c r="O326" s="1452"/>
      <c r="P326" s="1445"/>
      <c r="R326" s="1462"/>
      <c r="S326" s="1462"/>
      <c r="T326" s="1462"/>
      <c r="U326" s="1462"/>
      <c r="V326" s="1462"/>
      <c r="W326" s="1462"/>
      <c r="X326" s="1462"/>
      <c r="Y326" s="1462"/>
    </row>
    <row r="327" spans="1:25" x14ac:dyDescent="0.3">
      <c r="A327" s="2294"/>
      <c r="B327" s="2294"/>
      <c r="C327" s="2294"/>
      <c r="D327" s="2294"/>
      <c r="E327" s="1461"/>
      <c r="I327" s="1452"/>
      <c r="J327" s="1452"/>
      <c r="K327" s="1452"/>
      <c r="L327" s="1452"/>
      <c r="M327" s="1452"/>
      <c r="N327" s="1452"/>
      <c r="O327" s="1452"/>
      <c r="P327" s="1445"/>
      <c r="R327" s="1462"/>
      <c r="S327" s="1462"/>
      <c r="T327" s="1462"/>
      <c r="U327" s="1462"/>
      <c r="V327" s="1462"/>
      <c r="W327" s="1462"/>
      <c r="X327" s="1462"/>
      <c r="Y327" s="1462"/>
    </row>
    <row r="328" spans="1:25" x14ac:dyDescent="0.3">
      <c r="A328" s="2294"/>
      <c r="B328" s="2294"/>
      <c r="C328" s="2294"/>
      <c r="D328" s="2294"/>
      <c r="E328" s="1461"/>
      <c r="I328" s="1452"/>
      <c r="J328" s="1452"/>
      <c r="K328" s="1452"/>
      <c r="L328" s="1452"/>
      <c r="M328" s="1452"/>
      <c r="N328" s="1452"/>
      <c r="O328" s="1452"/>
      <c r="P328" s="1445"/>
      <c r="R328" s="1462"/>
      <c r="S328" s="1462"/>
      <c r="T328" s="1462"/>
      <c r="U328" s="1462"/>
      <c r="V328" s="1462"/>
      <c r="W328" s="1462"/>
      <c r="X328" s="1462"/>
      <c r="Y328" s="1462"/>
    </row>
    <row r="329" spans="1:25" x14ac:dyDescent="0.3">
      <c r="A329" s="2294"/>
      <c r="B329" s="2294"/>
      <c r="C329" s="2294"/>
      <c r="D329" s="2294"/>
      <c r="E329" s="1461"/>
      <c r="I329" s="1452"/>
      <c r="J329" s="1452"/>
      <c r="K329" s="1452"/>
      <c r="L329" s="1452"/>
      <c r="M329" s="1452"/>
      <c r="N329" s="1452"/>
      <c r="O329" s="1452"/>
      <c r="P329" s="1463"/>
      <c r="R329" s="1462"/>
      <c r="S329" s="1462"/>
      <c r="T329" s="1462"/>
      <c r="U329" s="1462"/>
      <c r="V329" s="1462"/>
      <c r="W329" s="1462"/>
      <c r="X329" s="1462"/>
      <c r="Y329" s="1462"/>
    </row>
    <row r="330" spans="1:25" x14ac:dyDescent="0.3">
      <c r="A330" s="2294"/>
      <c r="B330" s="2294"/>
      <c r="C330" s="2294"/>
      <c r="D330" s="2294"/>
      <c r="E330" s="1461"/>
      <c r="I330" s="1452"/>
      <c r="J330" s="1452"/>
      <c r="K330" s="1452"/>
      <c r="L330" s="1452"/>
      <c r="M330" s="1452"/>
      <c r="N330" s="1452"/>
      <c r="O330" s="1452"/>
      <c r="P330" s="1445"/>
      <c r="R330" s="1462"/>
      <c r="S330" s="1462"/>
      <c r="T330" s="1462"/>
      <c r="U330" s="1462"/>
      <c r="V330" s="1462"/>
      <c r="W330" s="1462"/>
      <c r="X330" s="1462"/>
      <c r="Y330" s="1462"/>
    </row>
    <row r="331" spans="1:25" x14ac:dyDescent="0.3">
      <c r="A331" s="2294"/>
      <c r="B331" s="2294"/>
      <c r="C331" s="2294"/>
      <c r="D331" s="2294"/>
      <c r="E331" s="1461"/>
      <c r="I331" s="1452"/>
      <c r="J331" s="1452"/>
      <c r="K331" s="1452"/>
      <c r="L331" s="1452"/>
      <c r="M331" s="1452"/>
      <c r="N331" s="1452"/>
      <c r="O331" s="1452"/>
      <c r="P331" s="1445"/>
      <c r="R331" s="1462"/>
      <c r="S331" s="1462"/>
      <c r="T331" s="1462"/>
      <c r="U331" s="1462"/>
      <c r="V331" s="1462"/>
      <c r="W331" s="1462"/>
      <c r="X331" s="1462"/>
      <c r="Y331" s="1462"/>
    </row>
    <row r="332" spans="1:25" x14ac:dyDescent="0.3">
      <c r="A332" s="2294"/>
      <c r="B332" s="2294"/>
      <c r="C332" s="2294"/>
      <c r="D332" s="2294"/>
      <c r="E332" s="1461"/>
      <c r="I332" s="1452"/>
      <c r="J332" s="1452"/>
      <c r="K332" s="1452"/>
      <c r="L332" s="1452"/>
      <c r="M332" s="1452"/>
      <c r="N332" s="1452"/>
      <c r="O332" s="1452"/>
      <c r="P332" s="1445"/>
      <c r="R332" s="1462"/>
      <c r="S332" s="1462"/>
      <c r="T332" s="1462"/>
      <c r="U332" s="1462"/>
      <c r="V332" s="1462"/>
      <c r="W332" s="1462"/>
      <c r="X332" s="1462"/>
      <c r="Y332" s="1462"/>
    </row>
    <row r="333" spans="1:25" x14ac:dyDescent="0.3">
      <c r="A333" s="2294"/>
      <c r="B333" s="2294"/>
      <c r="C333" s="2294"/>
      <c r="D333" s="2294"/>
      <c r="E333" s="1461"/>
      <c r="I333" s="1452"/>
      <c r="J333" s="1452"/>
      <c r="K333" s="1452"/>
      <c r="L333" s="1452"/>
      <c r="M333" s="1452"/>
      <c r="N333" s="1452"/>
      <c r="O333" s="1452"/>
      <c r="P333" s="1463"/>
      <c r="R333" s="1462"/>
      <c r="S333" s="1462"/>
      <c r="T333" s="1462"/>
      <c r="U333" s="1462"/>
      <c r="V333" s="1462"/>
      <c r="W333" s="1462"/>
      <c r="X333" s="1462"/>
      <c r="Y333" s="1462"/>
    </row>
    <row r="334" spans="1:25" x14ac:dyDescent="0.3">
      <c r="A334" s="2294"/>
      <c r="B334" s="2294"/>
      <c r="C334" s="2294"/>
      <c r="D334" s="2294"/>
      <c r="E334" s="1461"/>
      <c r="I334" s="1452"/>
      <c r="J334" s="1452"/>
      <c r="K334" s="1452"/>
      <c r="L334" s="1452"/>
      <c r="M334" s="1452"/>
      <c r="N334" s="1452"/>
      <c r="O334" s="1452"/>
      <c r="P334" s="1445"/>
      <c r="R334" s="1462"/>
      <c r="S334" s="1462"/>
      <c r="T334" s="1462"/>
      <c r="U334" s="1462"/>
      <c r="V334" s="1462"/>
      <c r="W334" s="1462"/>
      <c r="X334" s="1462"/>
      <c r="Y334" s="1462"/>
    </row>
    <row r="335" spans="1:25" x14ac:dyDescent="0.3">
      <c r="A335" s="2294"/>
      <c r="B335" s="2294"/>
      <c r="C335" s="2294"/>
      <c r="D335" s="2294"/>
      <c r="E335" s="1461"/>
      <c r="I335" s="1452"/>
      <c r="J335" s="1452"/>
      <c r="K335" s="1452"/>
      <c r="L335" s="1452"/>
      <c r="M335" s="1452"/>
      <c r="N335" s="1452"/>
      <c r="O335" s="1452"/>
      <c r="P335" s="1445"/>
      <c r="R335" s="1462"/>
      <c r="S335" s="1462"/>
      <c r="T335" s="1462"/>
      <c r="U335" s="1462"/>
      <c r="V335" s="1462"/>
      <c r="W335" s="1462"/>
      <c r="X335" s="1462"/>
      <c r="Y335" s="1462"/>
    </row>
    <row r="336" spans="1:25" x14ac:dyDescent="0.3">
      <c r="A336" s="2294"/>
      <c r="B336" s="2294"/>
      <c r="C336" s="2294"/>
      <c r="D336" s="2294"/>
      <c r="E336" s="1461"/>
      <c r="I336" s="1452"/>
      <c r="J336" s="1452"/>
      <c r="K336" s="1452"/>
      <c r="L336" s="1452"/>
      <c r="M336" s="1452"/>
      <c r="N336" s="1452"/>
      <c r="O336" s="1452"/>
      <c r="P336" s="1445"/>
      <c r="R336" s="1462"/>
      <c r="S336" s="1462"/>
      <c r="T336" s="1462"/>
      <c r="U336" s="1462"/>
      <c r="V336" s="1462"/>
      <c r="W336" s="1462"/>
      <c r="X336" s="1462"/>
      <c r="Y336" s="1462"/>
    </row>
    <row r="337" spans="1:25" x14ac:dyDescent="0.3">
      <c r="A337" s="2294"/>
      <c r="B337" s="2294"/>
      <c r="C337" s="2294"/>
      <c r="D337" s="2294"/>
      <c r="E337" s="1461"/>
      <c r="I337" s="1452"/>
      <c r="J337" s="1452"/>
      <c r="K337" s="1452"/>
      <c r="L337" s="1452"/>
      <c r="M337" s="1452"/>
      <c r="N337" s="1452"/>
      <c r="O337" s="1452"/>
      <c r="P337" s="1445"/>
      <c r="R337" s="1462"/>
      <c r="S337" s="1462"/>
      <c r="T337" s="1462"/>
      <c r="U337" s="1462"/>
      <c r="V337" s="1462"/>
      <c r="W337" s="1462"/>
      <c r="X337" s="1462"/>
      <c r="Y337" s="1462"/>
    </row>
    <row r="338" spans="1:25" x14ac:dyDescent="0.3">
      <c r="A338" s="2294"/>
      <c r="B338" s="2294"/>
      <c r="C338" s="2294"/>
      <c r="D338" s="2294"/>
      <c r="E338" s="1461"/>
      <c r="I338" s="1452"/>
      <c r="J338" s="1452"/>
      <c r="K338" s="1452"/>
      <c r="L338" s="1452"/>
      <c r="M338" s="1452"/>
      <c r="N338" s="1452"/>
      <c r="O338" s="1452"/>
      <c r="P338" s="1445"/>
      <c r="R338" s="1462"/>
      <c r="S338" s="1462"/>
      <c r="T338" s="1462"/>
      <c r="U338" s="1462"/>
      <c r="V338" s="1462"/>
      <c r="W338" s="1462"/>
      <c r="X338" s="1462"/>
      <c r="Y338" s="1462"/>
    </row>
    <row r="339" spans="1:25" x14ac:dyDescent="0.3">
      <c r="A339" s="2294"/>
      <c r="B339" s="2294"/>
      <c r="C339" s="2294"/>
      <c r="D339" s="2294"/>
      <c r="E339" s="1461"/>
      <c r="R339" s="1462"/>
      <c r="S339" s="1462"/>
      <c r="T339" s="1462"/>
      <c r="U339" s="1462"/>
      <c r="V339" s="1462"/>
      <c r="W339" s="1462"/>
      <c r="X339" s="1462"/>
      <c r="Y339" s="1462"/>
    </row>
    <row r="340" spans="1:25" x14ac:dyDescent="0.3">
      <c r="A340" s="2294"/>
      <c r="B340" s="2294"/>
      <c r="C340" s="2294"/>
      <c r="D340" s="2294"/>
      <c r="E340" s="1461"/>
      <c r="R340" s="1462"/>
      <c r="S340" s="1462"/>
      <c r="T340" s="1462"/>
      <c r="U340" s="1462"/>
      <c r="V340" s="1462"/>
      <c r="W340" s="1462"/>
      <c r="X340" s="1462"/>
      <c r="Y340" s="1462"/>
    </row>
    <row r="341" spans="1:25" x14ac:dyDescent="0.3">
      <c r="A341" s="2294"/>
      <c r="B341" s="2294"/>
      <c r="C341" s="2294"/>
      <c r="D341" s="2294"/>
      <c r="E341" s="1461"/>
      <c r="R341" s="1462"/>
      <c r="S341" s="1462"/>
      <c r="T341" s="1462"/>
      <c r="U341" s="1462"/>
      <c r="V341" s="1462"/>
      <c r="W341" s="1462"/>
      <c r="X341" s="1462"/>
      <c r="Y341" s="1462"/>
    </row>
    <row r="342" spans="1:25" x14ac:dyDescent="0.3">
      <c r="A342" s="2294"/>
      <c r="B342" s="2294"/>
      <c r="C342" s="2294"/>
      <c r="D342" s="2294"/>
      <c r="E342" s="1461"/>
      <c r="R342" s="1462"/>
      <c r="S342" s="1462"/>
      <c r="T342" s="1462"/>
      <c r="U342" s="1462"/>
      <c r="V342" s="1462"/>
      <c r="W342" s="1462"/>
      <c r="X342" s="1462"/>
      <c r="Y342" s="1462"/>
    </row>
    <row r="343" spans="1:25" x14ac:dyDescent="0.3">
      <c r="A343" s="2294"/>
      <c r="B343" s="2294"/>
      <c r="C343" s="2294"/>
      <c r="D343" s="2294"/>
      <c r="E343" s="1461"/>
      <c r="R343" s="1462"/>
      <c r="S343" s="1462"/>
      <c r="T343" s="1462"/>
      <c r="U343" s="1462"/>
      <c r="V343" s="1462"/>
      <c r="W343" s="1462"/>
      <c r="X343" s="1462"/>
      <c r="Y343" s="1462"/>
    </row>
    <row r="344" spans="1:25" x14ac:dyDescent="0.3">
      <c r="A344" s="2294"/>
      <c r="B344" s="2294"/>
      <c r="C344" s="2294"/>
      <c r="D344" s="2294"/>
      <c r="E344" s="1461"/>
      <c r="R344" s="1462"/>
      <c r="S344" s="1462"/>
      <c r="T344" s="1462"/>
      <c r="U344" s="1462"/>
      <c r="V344" s="1462"/>
      <c r="W344" s="1462"/>
      <c r="X344" s="1462"/>
      <c r="Y344" s="1462"/>
    </row>
    <row r="345" spans="1:25" x14ac:dyDescent="0.3">
      <c r="A345" s="2294"/>
      <c r="B345" s="2294"/>
      <c r="C345" s="2294"/>
      <c r="D345" s="2294"/>
      <c r="E345" s="1461"/>
      <c r="R345" s="1462"/>
      <c r="S345" s="1462"/>
      <c r="T345" s="1462"/>
      <c r="U345" s="1462"/>
      <c r="V345" s="1462"/>
      <c r="W345" s="1462"/>
      <c r="X345" s="1462"/>
      <c r="Y345" s="1462"/>
    </row>
    <row r="346" spans="1:25" x14ac:dyDescent="0.3">
      <c r="A346" s="2294"/>
      <c r="B346" s="2294"/>
      <c r="C346" s="2294"/>
      <c r="D346" s="2294"/>
      <c r="E346" s="1461"/>
      <c r="R346" s="1462"/>
      <c r="S346" s="1462"/>
      <c r="T346" s="1462"/>
      <c r="U346" s="1462"/>
      <c r="V346" s="1462"/>
      <c r="W346" s="1462"/>
      <c r="X346" s="1462"/>
      <c r="Y346" s="1462"/>
    </row>
    <row r="347" spans="1:25" x14ac:dyDescent="0.3">
      <c r="A347" s="2294"/>
      <c r="B347" s="2294"/>
      <c r="C347" s="2294"/>
      <c r="D347" s="2294"/>
      <c r="E347" s="1461"/>
      <c r="R347" s="1462"/>
      <c r="S347" s="1462"/>
      <c r="T347" s="1462"/>
      <c r="U347" s="1462"/>
      <c r="V347" s="1462"/>
      <c r="W347" s="1462"/>
      <c r="X347" s="1462"/>
      <c r="Y347" s="1462"/>
    </row>
    <row r="348" spans="1:25" x14ac:dyDescent="0.3">
      <c r="A348" s="2294"/>
      <c r="B348" s="2294"/>
      <c r="C348" s="2294"/>
      <c r="D348" s="2294"/>
      <c r="E348" s="1461"/>
      <c r="R348" s="1462"/>
      <c r="S348" s="1462"/>
      <c r="T348" s="1462"/>
      <c r="U348" s="1462"/>
      <c r="V348" s="1462"/>
      <c r="W348" s="1462"/>
      <c r="X348" s="1462"/>
      <c r="Y348" s="1462"/>
    </row>
    <row r="349" spans="1:25" x14ac:dyDescent="0.3">
      <c r="A349" s="2294"/>
      <c r="B349" s="2294"/>
      <c r="C349" s="2294"/>
      <c r="D349" s="2294"/>
      <c r="E349" s="1461"/>
      <c r="R349" s="1462"/>
      <c r="S349" s="1462"/>
      <c r="T349" s="1462"/>
      <c r="U349" s="1462"/>
      <c r="V349" s="1462"/>
      <c r="W349" s="1462"/>
      <c r="X349" s="1462"/>
      <c r="Y349" s="1462"/>
    </row>
    <row r="350" spans="1:25" x14ac:dyDescent="0.3">
      <c r="A350" s="2294"/>
      <c r="B350" s="2294"/>
      <c r="C350" s="2294"/>
      <c r="D350" s="2294"/>
      <c r="E350" s="1461"/>
      <c r="R350" s="1462"/>
      <c r="S350" s="1462"/>
      <c r="T350" s="1462"/>
      <c r="U350" s="1462"/>
      <c r="V350" s="1462"/>
      <c r="W350" s="1462"/>
      <c r="X350" s="1462"/>
      <c r="Y350" s="1462"/>
    </row>
    <row r="351" spans="1:25" x14ac:dyDescent="0.3">
      <c r="A351" s="2294"/>
      <c r="B351" s="2294"/>
      <c r="C351" s="2294"/>
      <c r="D351" s="2294"/>
      <c r="E351" s="1461"/>
      <c r="R351" s="1462"/>
      <c r="S351" s="1462"/>
      <c r="T351" s="1462"/>
      <c r="U351" s="1462"/>
      <c r="V351" s="1462"/>
      <c r="W351" s="1462"/>
      <c r="X351" s="1462"/>
      <c r="Y351" s="1462"/>
    </row>
    <row r="352" spans="1:25" x14ac:dyDescent="0.3">
      <c r="A352" s="2294"/>
      <c r="B352" s="2294"/>
      <c r="C352" s="2294"/>
      <c r="D352" s="2294"/>
      <c r="E352" s="1461"/>
      <c r="R352" s="1462"/>
      <c r="S352" s="1462"/>
      <c r="T352" s="1462"/>
      <c r="U352" s="1462"/>
      <c r="V352" s="1462"/>
      <c r="W352" s="1462"/>
      <c r="X352" s="1462"/>
      <c r="Y352" s="1462"/>
    </row>
    <row r="353" spans="1:25" x14ac:dyDescent="0.3">
      <c r="A353" s="2294"/>
      <c r="B353" s="2294"/>
      <c r="C353" s="2294"/>
      <c r="D353" s="2294"/>
      <c r="E353" s="1461"/>
      <c r="R353" s="1462"/>
      <c r="S353" s="1462"/>
      <c r="T353" s="1462"/>
      <c r="U353" s="1462"/>
      <c r="V353" s="1462"/>
      <c r="W353" s="1462"/>
      <c r="X353" s="1462"/>
      <c r="Y353" s="1462"/>
    </row>
    <row r="354" spans="1:25" x14ac:dyDescent="0.3">
      <c r="A354" s="2294"/>
      <c r="B354" s="2294"/>
      <c r="C354" s="2294"/>
      <c r="D354" s="2294"/>
      <c r="E354" s="1461"/>
      <c r="R354" s="1462"/>
      <c r="S354" s="1462"/>
      <c r="T354" s="1462"/>
      <c r="U354" s="1462"/>
      <c r="V354" s="1462"/>
      <c r="W354" s="1462"/>
      <c r="X354" s="1462"/>
      <c r="Y354" s="1462"/>
    </row>
    <row r="355" spans="1:25" x14ac:dyDescent="0.3">
      <c r="A355" s="2294"/>
      <c r="B355" s="2294"/>
      <c r="C355" s="2294"/>
      <c r="D355" s="2294"/>
      <c r="E355" s="1461"/>
      <c r="R355" s="1462"/>
      <c r="S355" s="1462"/>
      <c r="T355" s="1462"/>
      <c r="U355" s="1462"/>
      <c r="V355" s="1462"/>
      <c r="W355" s="1462"/>
      <c r="X355" s="1462"/>
      <c r="Y355" s="1462"/>
    </row>
    <row r="356" spans="1:25" x14ac:dyDescent="0.3">
      <c r="A356" s="2294"/>
      <c r="B356" s="2294"/>
      <c r="C356" s="2294"/>
      <c r="D356" s="2294"/>
      <c r="E356" s="1461"/>
      <c r="R356" s="1462"/>
      <c r="S356" s="1462"/>
      <c r="T356" s="1462"/>
      <c r="U356" s="1462"/>
      <c r="V356" s="1462"/>
      <c r="W356" s="1462"/>
      <c r="X356" s="1462"/>
      <c r="Y356" s="1462"/>
    </row>
    <row r="357" spans="1:25" x14ac:dyDescent="0.3">
      <c r="A357" s="2294"/>
      <c r="B357" s="2294"/>
      <c r="C357" s="2294"/>
      <c r="D357" s="2294"/>
      <c r="E357" s="1461"/>
      <c r="R357" s="1462"/>
      <c r="S357" s="1462"/>
      <c r="T357" s="1462"/>
      <c r="U357" s="1462"/>
      <c r="V357" s="1462"/>
      <c r="W357" s="1462"/>
      <c r="X357" s="1462"/>
      <c r="Y357" s="1462"/>
    </row>
    <row r="358" spans="1:25" x14ac:dyDescent="0.3">
      <c r="A358" s="2294"/>
      <c r="B358" s="2294"/>
      <c r="C358" s="2294"/>
      <c r="D358" s="2294"/>
      <c r="E358" s="1461"/>
      <c r="R358" s="1462"/>
      <c r="S358" s="1462"/>
      <c r="T358" s="1462"/>
      <c r="U358" s="1462"/>
      <c r="V358" s="1462"/>
      <c r="W358" s="1462"/>
      <c r="X358" s="1462"/>
      <c r="Y358" s="1462"/>
    </row>
    <row r="359" spans="1:25" x14ac:dyDescent="0.3">
      <c r="A359" s="2294"/>
      <c r="B359" s="2294"/>
      <c r="C359" s="2294"/>
      <c r="D359" s="2294"/>
      <c r="E359" s="1461"/>
      <c r="R359" s="1462"/>
      <c r="S359" s="1462"/>
      <c r="T359" s="1462"/>
      <c r="U359" s="1462"/>
      <c r="V359" s="1462"/>
      <c r="W359" s="1462"/>
      <c r="X359" s="1462"/>
      <c r="Y359" s="1462"/>
    </row>
    <row r="360" spans="1:25" x14ac:dyDescent="0.3">
      <c r="A360" s="2294"/>
      <c r="B360" s="2294"/>
      <c r="C360" s="2294"/>
      <c r="D360" s="2294"/>
      <c r="E360" s="1461"/>
      <c r="R360" s="1462"/>
      <c r="S360" s="1462"/>
      <c r="T360" s="1462"/>
      <c r="U360" s="1462"/>
      <c r="V360" s="1462"/>
      <c r="W360" s="1462"/>
      <c r="X360" s="1462"/>
      <c r="Y360" s="1462"/>
    </row>
    <row r="361" spans="1:25" x14ac:dyDescent="0.3">
      <c r="A361" s="2294"/>
      <c r="B361" s="2294"/>
      <c r="C361" s="2294"/>
      <c r="D361" s="2294"/>
      <c r="E361" s="1461"/>
      <c r="R361" s="1462"/>
      <c r="S361" s="1462"/>
      <c r="T361" s="1462"/>
      <c r="U361" s="1462"/>
      <c r="V361" s="1462"/>
      <c r="W361" s="1462"/>
      <c r="X361" s="1462"/>
      <c r="Y361" s="1462"/>
    </row>
    <row r="362" spans="1:25" x14ac:dyDescent="0.3">
      <c r="A362" s="2294"/>
      <c r="B362" s="2294"/>
      <c r="C362" s="2294"/>
      <c r="D362" s="2294"/>
      <c r="E362" s="1461"/>
      <c r="R362" s="1462"/>
      <c r="S362" s="1462"/>
      <c r="T362" s="1462"/>
      <c r="U362" s="1462"/>
      <c r="V362" s="1462"/>
      <c r="W362" s="1462"/>
      <c r="X362" s="1462"/>
      <c r="Y362" s="1462"/>
    </row>
    <row r="363" spans="1:25" x14ac:dyDescent="0.3">
      <c r="A363" s="2294"/>
      <c r="B363" s="2294"/>
      <c r="C363" s="2294"/>
      <c r="D363" s="2294"/>
      <c r="E363" s="1461"/>
      <c r="R363" s="1462"/>
      <c r="S363" s="1462"/>
      <c r="T363" s="1462"/>
      <c r="U363" s="1462"/>
      <c r="V363" s="1462"/>
      <c r="W363" s="1462"/>
      <c r="X363" s="1462"/>
      <c r="Y363" s="1462"/>
    </row>
    <row r="364" spans="1:25" x14ac:dyDescent="0.3">
      <c r="A364" s="2294"/>
      <c r="B364" s="2294"/>
      <c r="C364" s="2294"/>
      <c r="D364" s="2294"/>
      <c r="E364" s="1461"/>
      <c r="R364" s="1462"/>
      <c r="S364" s="1462"/>
      <c r="T364" s="1462"/>
      <c r="U364" s="1462"/>
      <c r="V364" s="1462"/>
      <c r="W364" s="1462"/>
      <c r="X364" s="1462"/>
      <c r="Y364" s="1462"/>
    </row>
    <row r="365" spans="1:25" x14ac:dyDescent="0.3">
      <c r="A365" s="2294"/>
      <c r="B365" s="2294"/>
      <c r="C365" s="2294"/>
      <c r="D365" s="2294"/>
      <c r="E365" s="1461"/>
      <c r="R365" s="1462"/>
      <c r="S365" s="1462"/>
      <c r="T365" s="1462"/>
      <c r="U365" s="1462"/>
      <c r="V365" s="1462"/>
      <c r="W365" s="1462"/>
      <c r="X365" s="1462"/>
      <c r="Y365" s="1462"/>
    </row>
    <row r="366" spans="1:25" x14ac:dyDescent="0.3">
      <c r="A366" s="2294"/>
      <c r="B366" s="2294"/>
      <c r="C366" s="2294"/>
      <c r="D366" s="2294"/>
      <c r="E366" s="1461"/>
      <c r="R366" s="1462"/>
      <c r="S366" s="1462"/>
      <c r="T366" s="1462"/>
      <c r="U366" s="1462"/>
      <c r="V366" s="1462"/>
      <c r="W366" s="1462"/>
      <c r="X366" s="1462"/>
      <c r="Y366" s="1462"/>
    </row>
    <row r="367" spans="1:25" x14ac:dyDescent="0.3">
      <c r="A367" s="2294"/>
      <c r="B367" s="2294"/>
      <c r="C367" s="2294"/>
      <c r="D367" s="2294"/>
      <c r="E367" s="1461"/>
      <c r="R367" s="1462"/>
      <c r="S367" s="1462"/>
      <c r="T367" s="1462"/>
      <c r="U367" s="1462"/>
      <c r="V367" s="1462"/>
      <c r="W367" s="1462"/>
      <c r="X367" s="1462"/>
      <c r="Y367" s="1462"/>
    </row>
    <row r="368" spans="1:25" x14ac:dyDescent="0.3">
      <c r="A368" s="2294"/>
      <c r="B368" s="2294"/>
      <c r="C368" s="2294"/>
      <c r="D368" s="2294"/>
      <c r="E368" s="1461"/>
      <c r="R368" s="1462"/>
      <c r="S368" s="1462"/>
      <c r="T368" s="1462"/>
      <c r="U368" s="1462"/>
      <c r="V368" s="1462"/>
      <c r="W368" s="1462"/>
      <c r="X368" s="1462"/>
      <c r="Y368" s="1462"/>
    </row>
    <row r="369" spans="1:25" x14ac:dyDescent="0.3">
      <c r="A369" s="2294"/>
      <c r="B369" s="2294"/>
      <c r="C369" s="2294"/>
      <c r="D369" s="2294"/>
      <c r="E369" s="1461"/>
      <c r="R369" s="1462"/>
      <c r="S369" s="1462"/>
      <c r="T369" s="1462"/>
      <c r="U369" s="1462"/>
      <c r="V369" s="1462"/>
      <c r="W369" s="1462"/>
      <c r="X369" s="1462"/>
      <c r="Y369" s="1462"/>
    </row>
    <row r="370" spans="1:25" x14ac:dyDescent="0.3">
      <c r="A370" s="2294"/>
      <c r="B370" s="2294"/>
      <c r="C370" s="2294"/>
      <c r="D370" s="2294"/>
      <c r="E370" s="1461"/>
      <c r="R370" s="1462"/>
      <c r="S370" s="1462"/>
      <c r="T370" s="1462"/>
      <c r="U370" s="1462"/>
      <c r="V370" s="1462"/>
      <c r="W370" s="1462"/>
      <c r="X370" s="1462"/>
      <c r="Y370" s="1462"/>
    </row>
    <row r="371" spans="1:25" x14ac:dyDescent="0.3">
      <c r="A371" s="2294"/>
      <c r="B371" s="2294"/>
      <c r="C371" s="2294"/>
      <c r="D371" s="2294"/>
      <c r="E371" s="1461"/>
      <c r="R371" s="1462"/>
      <c r="S371" s="1462"/>
      <c r="T371" s="1462"/>
      <c r="U371" s="1462"/>
      <c r="V371" s="1462"/>
      <c r="W371" s="1462"/>
      <c r="X371" s="1462"/>
      <c r="Y371" s="1462"/>
    </row>
    <row r="372" spans="1:25" x14ac:dyDescent="0.3">
      <c r="A372" s="2294"/>
      <c r="B372" s="2294"/>
      <c r="C372" s="2294"/>
      <c r="D372" s="2294"/>
      <c r="E372" s="1461"/>
      <c r="R372" s="1462"/>
      <c r="S372" s="1462"/>
      <c r="T372" s="1462"/>
      <c r="U372" s="1462"/>
      <c r="V372" s="1462"/>
      <c r="W372" s="1462"/>
      <c r="X372" s="1462"/>
      <c r="Y372" s="1462"/>
    </row>
    <row r="373" spans="1:25" x14ac:dyDescent="0.3">
      <c r="A373" s="2294"/>
      <c r="B373" s="2294"/>
      <c r="C373" s="2294"/>
      <c r="D373" s="2294"/>
      <c r="E373" s="1461"/>
      <c r="R373" s="1462"/>
      <c r="S373" s="1462"/>
      <c r="T373" s="1462"/>
      <c r="U373" s="1462"/>
      <c r="V373" s="1462"/>
      <c r="W373" s="1462"/>
      <c r="X373" s="1462"/>
      <c r="Y373" s="1462"/>
    </row>
    <row r="374" spans="1:25" x14ac:dyDescent="0.3">
      <c r="A374" s="2294"/>
      <c r="B374" s="2294"/>
      <c r="C374" s="2294"/>
      <c r="D374" s="2294"/>
      <c r="E374" s="1461"/>
      <c r="R374" s="1462"/>
      <c r="S374" s="1462"/>
      <c r="T374" s="1462"/>
      <c r="U374" s="1462"/>
      <c r="V374" s="1462"/>
      <c r="W374" s="1462"/>
      <c r="X374" s="1462"/>
      <c r="Y374" s="1462"/>
    </row>
    <row r="375" spans="1:25" x14ac:dyDescent="0.3">
      <c r="A375" s="2294"/>
      <c r="B375" s="2294"/>
      <c r="C375" s="2294"/>
      <c r="D375" s="2294"/>
      <c r="E375" s="1461"/>
      <c r="R375" s="1462"/>
      <c r="S375" s="1462"/>
      <c r="T375" s="1462"/>
      <c r="U375" s="1462"/>
      <c r="V375" s="1462"/>
      <c r="W375" s="1462"/>
      <c r="X375" s="1462"/>
      <c r="Y375" s="1462"/>
    </row>
    <row r="376" spans="1:25" x14ac:dyDescent="0.3">
      <c r="A376" s="2294"/>
      <c r="B376" s="2294"/>
      <c r="C376" s="2294"/>
      <c r="D376" s="2294"/>
      <c r="E376" s="1461"/>
      <c r="R376" s="1462"/>
      <c r="S376" s="1462"/>
      <c r="T376" s="1462"/>
      <c r="U376" s="1462"/>
      <c r="V376" s="1462"/>
      <c r="W376" s="1462"/>
      <c r="X376" s="1462"/>
      <c r="Y376" s="1462"/>
    </row>
    <row r="377" spans="1:25" x14ac:dyDescent="0.3">
      <c r="A377" s="2294"/>
      <c r="B377" s="2294"/>
      <c r="C377" s="2294"/>
      <c r="D377" s="2294"/>
      <c r="E377" s="1461"/>
      <c r="R377" s="1462"/>
      <c r="S377" s="1462"/>
      <c r="T377" s="1462"/>
      <c r="U377" s="1462"/>
      <c r="V377" s="1462"/>
      <c r="W377" s="1462"/>
      <c r="X377" s="1462"/>
      <c r="Y377" s="1462"/>
    </row>
    <row r="378" spans="1:25" x14ac:dyDescent="0.3">
      <c r="A378" s="2294"/>
      <c r="B378" s="2294"/>
      <c r="C378" s="2294"/>
      <c r="D378" s="2294"/>
      <c r="E378" s="1461"/>
      <c r="R378" s="1462"/>
      <c r="S378" s="1462"/>
      <c r="T378" s="1462"/>
      <c r="U378" s="1462"/>
      <c r="V378" s="1462"/>
      <c r="W378" s="1462"/>
      <c r="X378" s="1462"/>
      <c r="Y378" s="1462"/>
    </row>
    <row r="379" spans="1:25" x14ac:dyDescent="0.3">
      <c r="A379" s="2294"/>
      <c r="B379" s="2294"/>
      <c r="C379" s="2294"/>
      <c r="D379" s="2294"/>
      <c r="E379" s="1461"/>
      <c r="R379" s="1462"/>
      <c r="S379" s="1462"/>
      <c r="T379" s="1462"/>
      <c r="U379" s="1462"/>
      <c r="V379" s="1462"/>
      <c r="W379" s="1462"/>
      <c r="X379" s="1462"/>
      <c r="Y379" s="1462"/>
    </row>
    <row r="380" spans="1:25" x14ac:dyDescent="0.3">
      <c r="A380" s="2294"/>
      <c r="B380" s="2294"/>
      <c r="C380" s="2294"/>
      <c r="D380" s="2294"/>
      <c r="E380" s="1461"/>
      <c r="R380" s="1462"/>
      <c r="S380" s="1462"/>
      <c r="T380" s="1462"/>
      <c r="U380" s="1462"/>
      <c r="V380" s="1462"/>
      <c r="W380" s="1462"/>
      <c r="X380" s="1462"/>
      <c r="Y380" s="1462"/>
    </row>
    <row r="381" spans="1:25" x14ac:dyDescent="0.3">
      <c r="A381" s="2294"/>
      <c r="B381" s="2294"/>
      <c r="C381" s="2294"/>
      <c r="D381" s="2294"/>
      <c r="E381" s="1461"/>
      <c r="R381" s="1462"/>
      <c r="S381" s="1462"/>
      <c r="T381" s="1462"/>
      <c r="U381" s="1462"/>
      <c r="V381" s="1462"/>
      <c r="W381" s="1462"/>
      <c r="X381" s="1462"/>
      <c r="Y381" s="1462"/>
    </row>
    <row r="382" spans="1:25" x14ac:dyDescent="0.3">
      <c r="A382" s="2294"/>
      <c r="B382" s="2294"/>
      <c r="C382" s="2294"/>
      <c r="D382" s="2294"/>
      <c r="E382" s="1461"/>
      <c r="R382" s="1462"/>
      <c r="S382" s="1462"/>
      <c r="T382" s="1462"/>
      <c r="U382" s="1462"/>
      <c r="V382" s="1462"/>
      <c r="W382" s="1462"/>
      <c r="X382" s="1462"/>
      <c r="Y382" s="1462"/>
    </row>
    <row r="383" spans="1:25" x14ac:dyDescent="0.3">
      <c r="A383" s="2294"/>
      <c r="B383" s="2294"/>
      <c r="C383" s="2294"/>
      <c r="D383" s="2294"/>
      <c r="E383" s="1461"/>
      <c r="R383" s="1462"/>
      <c r="S383" s="1462"/>
      <c r="T383" s="1462"/>
      <c r="U383" s="1462"/>
      <c r="V383" s="1462"/>
      <c r="W383" s="1462"/>
      <c r="X383" s="1462"/>
      <c r="Y383" s="1462"/>
    </row>
    <row r="384" spans="1:25" x14ac:dyDescent="0.3">
      <c r="A384" s="2294"/>
      <c r="B384" s="2294"/>
      <c r="C384" s="2294"/>
      <c r="D384" s="2294"/>
      <c r="E384" s="1461"/>
      <c r="R384" s="1462"/>
      <c r="S384" s="1462"/>
      <c r="T384" s="1462"/>
      <c r="U384" s="1462"/>
      <c r="V384" s="1462"/>
      <c r="W384" s="1462"/>
      <c r="X384" s="1462"/>
      <c r="Y384" s="1462"/>
    </row>
    <row r="385" spans="1:25" x14ac:dyDescent="0.3">
      <c r="A385" s="2294"/>
      <c r="B385" s="2294"/>
      <c r="C385" s="2294"/>
      <c r="D385" s="2294"/>
      <c r="E385" s="1461"/>
      <c r="R385" s="1462"/>
      <c r="S385" s="1462"/>
      <c r="T385" s="1462"/>
      <c r="U385" s="1462"/>
      <c r="V385" s="1462"/>
      <c r="W385" s="1462"/>
      <c r="X385" s="1462"/>
      <c r="Y385" s="1462"/>
    </row>
    <row r="386" spans="1:25" x14ac:dyDescent="0.3">
      <c r="A386" s="2294"/>
      <c r="B386" s="2294"/>
      <c r="C386" s="2294"/>
      <c r="D386" s="2294"/>
      <c r="E386" s="1461"/>
      <c r="R386" s="1462"/>
      <c r="S386" s="1462"/>
      <c r="T386" s="1462"/>
      <c r="U386" s="1462"/>
      <c r="V386" s="1462"/>
      <c r="W386" s="1462"/>
      <c r="X386" s="1462"/>
      <c r="Y386" s="1462"/>
    </row>
    <row r="387" spans="1:25" x14ac:dyDescent="0.3">
      <c r="A387" s="2294"/>
      <c r="B387" s="2294"/>
      <c r="C387" s="2294"/>
      <c r="D387" s="2294"/>
      <c r="E387" s="1461"/>
      <c r="R387" s="1462"/>
      <c r="S387" s="1462"/>
      <c r="T387" s="1462"/>
      <c r="U387" s="1462"/>
      <c r="V387" s="1462"/>
      <c r="W387" s="1462"/>
      <c r="X387" s="1462"/>
      <c r="Y387" s="1462"/>
    </row>
    <row r="388" spans="1:25" x14ac:dyDescent="0.3">
      <c r="A388" s="2294"/>
      <c r="B388" s="2294"/>
      <c r="C388" s="2294"/>
      <c r="D388" s="2294"/>
      <c r="E388" s="1461"/>
      <c r="R388" s="1462"/>
      <c r="S388" s="1462"/>
      <c r="T388" s="1462"/>
      <c r="U388" s="1462"/>
      <c r="V388" s="1462"/>
      <c r="W388" s="1462"/>
      <c r="X388" s="1462"/>
      <c r="Y388" s="1462"/>
    </row>
    <row r="389" spans="1:25" x14ac:dyDescent="0.3">
      <c r="A389" s="2294"/>
      <c r="B389" s="2294"/>
      <c r="C389" s="2294"/>
      <c r="D389" s="2294"/>
      <c r="E389" s="1461"/>
      <c r="R389" s="1462"/>
      <c r="S389" s="1462"/>
      <c r="T389" s="1462"/>
      <c r="U389" s="1462"/>
      <c r="V389" s="1462"/>
      <c r="W389" s="1462"/>
      <c r="X389" s="1462"/>
      <c r="Y389" s="1462"/>
    </row>
    <row r="390" spans="1:25" x14ac:dyDescent="0.3">
      <c r="A390" s="2294"/>
      <c r="B390" s="2294"/>
      <c r="C390" s="2294"/>
      <c r="D390" s="2294"/>
      <c r="E390" s="1461"/>
      <c r="R390" s="1462"/>
      <c r="S390" s="1462"/>
      <c r="T390" s="1462"/>
      <c r="U390" s="1462"/>
      <c r="V390" s="1462"/>
      <c r="W390" s="1462"/>
      <c r="X390" s="1462"/>
      <c r="Y390" s="1462"/>
    </row>
    <row r="391" spans="1:25" x14ac:dyDescent="0.3">
      <c r="A391" s="2294"/>
      <c r="B391" s="2294"/>
      <c r="C391" s="2294"/>
      <c r="D391" s="2294"/>
      <c r="E391" s="1461"/>
      <c r="R391" s="1462"/>
      <c r="S391" s="1462"/>
      <c r="T391" s="1462"/>
      <c r="U391" s="1462"/>
      <c r="V391" s="1462"/>
      <c r="W391" s="1462"/>
      <c r="X391" s="1462"/>
      <c r="Y391" s="1462"/>
    </row>
    <row r="392" spans="1:25" x14ac:dyDescent="0.3">
      <c r="A392" s="2294"/>
      <c r="B392" s="2294"/>
      <c r="C392" s="2294"/>
      <c r="D392" s="2294"/>
      <c r="E392" s="1461"/>
      <c r="R392" s="1462"/>
      <c r="S392" s="1462"/>
      <c r="T392" s="1462"/>
      <c r="U392" s="1462"/>
      <c r="V392" s="1462"/>
      <c r="W392" s="1462"/>
      <c r="X392" s="1462"/>
      <c r="Y392" s="1462"/>
    </row>
    <row r="393" spans="1:25" x14ac:dyDescent="0.3">
      <c r="A393" s="2294"/>
      <c r="B393" s="2294"/>
      <c r="C393" s="2294"/>
      <c r="D393" s="2294"/>
      <c r="E393" s="1461"/>
      <c r="R393" s="1462"/>
      <c r="S393" s="1462"/>
      <c r="T393" s="1462"/>
      <c r="U393" s="1462"/>
      <c r="V393" s="1462"/>
      <c r="W393" s="1462"/>
      <c r="X393" s="1462"/>
      <c r="Y393" s="1462"/>
    </row>
    <row r="394" spans="1:25" x14ac:dyDescent="0.3">
      <c r="A394" s="2294"/>
      <c r="B394" s="2294"/>
      <c r="C394" s="2294"/>
      <c r="D394" s="2294"/>
      <c r="E394" s="1461"/>
      <c r="R394" s="1462"/>
      <c r="S394" s="1462"/>
      <c r="T394" s="1462"/>
      <c r="U394" s="1462"/>
      <c r="V394" s="1462"/>
      <c r="W394" s="1462"/>
      <c r="X394" s="1462"/>
      <c r="Y394" s="1462"/>
    </row>
    <row r="395" spans="1:25" x14ac:dyDescent="0.3">
      <c r="A395" s="2294"/>
      <c r="B395" s="2294"/>
      <c r="C395" s="2294"/>
      <c r="D395" s="2294"/>
      <c r="E395" s="1461"/>
      <c r="R395" s="1462"/>
      <c r="S395" s="1462"/>
      <c r="T395" s="1462"/>
      <c r="U395" s="1462"/>
      <c r="V395" s="1462"/>
      <c r="W395" s="1462"/>
      <c r="X395" s="1462"/>
      <c r="Y395" s="1462"/>
    </row>
    <row r="396" spans="1:25" x14ac:dyDescent="0.3">
      <c r="A396" s="2294"/>
      <c r="B396" s="2294"/>
      <c r="C396" s="2294"/>
      <c r="D396" s="2294"/>
      <c r="E396" s="1461"/>
      <c r="R396" s="1462"/>
      <c r="S396" s="1462"/>
      <c r="T396" s="1462"/>
      <c r="U396" s="1462"/>
      <c r="V396" s="1462"/>
      <c r="W396" s="1462"/>
      <c r="X396" s="1462"/>
      <c r="Y396" s="1462"/>
    </row>
    <row r="397" spans="1:25" x14ac:dyDescent="0.3">
      <c r="A397" s="2294"/>
      <c r="B397" s="2294"/>
      <c r="C397" s="2294"/>
      <c r="D397" s="2294"/>
      <c r="E397" s="1461"/>
      <c r="R397" s="1462"/>
      <c r="S397" s="1462"/>
      <c r="T397" s="1462"/>
      <c r="U397" s="1462"/>
      <c r="V397" s="1462"/>
      <c r="W397" s="1462"/>
      <c r="X397" s="1462"/>
      <c r="Y397" s="1462"/>
    </row>
    <row r="398" spans="1:25" x14ac:dyDescent="0.3">
      <c r="A398" s="2294"/>
      <c r="B398" s="2294"/>
      <c r="C398" s="2294"/>
      <c r="D398" s="2294"/>
      <c r="E398" s="1461"/>
      <c r="R398" s="1462"/>
      <c r="S398" s="1462"/>
      <c r="T398" s="1462"/>
      <c r="U398" s="1462"/>
      <c r="V398" s="1462"/>
      <c r="W398" s="1462"/>
      <c r="X398" s="1462"/>
      <c r="Y398" s="1462"/>
    </row>
    <row r="399" spans="1:25" x14ac:dyDescent="0.3">
      <c r="A399" s="2294"/>
      <c r="B399" s="2294"/>
      <c r="C399" s="2294"/>
      <c r="D399" s="2294"/>
      <c r="E399" s="1461"/>
      <c r="R399" s="1462"/>
      <c r="S399" s="1462"/>
      <c r="T399" s="1462"/>
      <c r="U399" s="1462"/>
      <c r="V399" s="1462"/>
      <c r="W399" s="1462"/>
      <c r="X399" s="1462"/>
      <c r="Y399" s="1462"/>
    </row>
    <row r="400" spans="1:25" x14ac:dyDescent="0.3">
      <c r="A400" s="2294"/>
      <c r="B400" s="2294"/>
      <c r="C400" s="2294"/>
      <c r="D400" s="2294"/>
      <c r="E400" s="1461"/>
      <c r="R400" s="1462"/>
      <c r="S400" s="1462"/>
      <c r="T400" s="1462"/>
      <c r="U400" s="1462"/>
      <c r="V400" s="1462"/>
      <c r="W400" s="1462"/>
      <c r="X400" s="1462"/>
      <c r="Y400" s="1462"/>
    </row>
    <row r="401" spans="1:25" x14ac:dyDescent="0.3">
      <c r="A401" s="2294"/>
      <c r="B401" s="2294"/>
      <c r="C401" s="2294"/>
      <c r="D401" s="2294"/>
      <c r="E401" s="1461"/>
      <c r="R401" s="1462"/>
      <c r="S401" s="1462"/>
      <c r="T401" s="1462"/>
      <c r="U401" s="1462"/>
      <c r="V401" s="1462"/>
      <c r="W401" s="1462"/>
      <c r="X401" s="1462"/>
      <c r="Y401" s="1462"/>
    </row>
    <row r="402" spans="1:25" x14ac:dyDescent="0.3">
      <c r="A402" s="2294"/>
      <c r="B402" s="2294"/>
      <c r="C402" s="2294"/>
      <c r="D402" s="2294"/>
      <c r="E402" s="1461"/>
      <c r="R402" s="1462"/>
      <c r="S402" s="1462"/>
      <c r="T402" s="1462"/>
      <c r="U402" s="1462"/>
      <c r="V402" s="1462"/>
      <c r="W402" s="1462"/>
      <c r="X402" s="1462"/>
      <c r="Y402" s="1462"/>
    </row>
    <row r="403" spans="1:25" x14ac:dyDescent="0.3">
      <c r="A403" s="2294"/>
      <c r="B403" s="2294"/>
      <c r="C403" s="2294"/>
      <c r="D403" s="2294"/>
      <c r="E403" s="1461"/>
      <c r="R403" s="1462"/>
      <c r="S403" s="1462"/>
      <c r="T403" s="1462"/>
      <c r="U403" s="1462"/>
      <c r="V403" s="1462"/>
      <c r="W403" s="1462"/>
      <c r="X403" s="1462"/>
      <c r="Y403" s="1462"/>
    </row>
    <row r="404" spans="1:25" x14ac:dyDescent="0.3">
      <c r="A404" s="2294"/>
      <c r="B404" s="2294"/>
      <c r="C404" s="2294"/>
      <c r="D404" s="2294"/>
      <c r="E404" s="1461"/>
      <c r="R404" s="1462"/>
      <c r="S404" s="1462"/>
      <c r="T404" s="1462"/>
      <c r="U404" s="1462"/>
      <c r="V404" s="1462"/>
      <c r="W404" s="1462"/>
      <c r="X404" s="1462"/>
      <c r="Y404" s="1462"/>
    </row>
    <row r="405" spans="1:25" x14ac:dyDescent="0.3">
      <c r="A405" s="2294"/>
      <c r="B405" s="2294"/>
      <c r="C405" s="2294"/>
      <c r="D405" s="2294"/>
      <c r="E405" s="1461"/>
      <c r="R405" s="1462"/>
      <c r="S405" s="1462"/>
      <c r="T405" s="1462"/>
      <c r="U405" s="1462"/>
      <c r="V405" s="1462"/>
      <c r="W405" s="1462"/>
      <c r="X405" s="1462"/>
      <c r="Y405" s="1462"/>
    </row>
    <row r="406" spans="1:25" x14ac:dyDescent="0.3">
      <c r="A406" s="2294"/>
      <c r="B406" s="2294"/>
      <c r="C406" s="2294"/>
      <c r="D406" s="2294"/>
      <c r="E406" s="1461"/>
      <c r="R406" s="1462"/>
      <c r="S406" s="1462"/>
      <c r="T406" s="1462"/>
      <c r="U406" s="1462"/>
      <c r="V406" s="1462"/>
      <c r="W406" s="1462"/>
      <c r="X406" s="1462"/>
      <c r="Y406" s="1462"/>
    </row>
    <row r="407" spans="1:25" x14ac:dyDescent="0.3">
      <c r="A407" s="2294"/>
      <c r="B407" s="2294"/>
      <c r="C407" s="2294"/>
      <c r="D407" s="2294"/>
      <c r="E407" s="1461"/>
      <c r="R407" s="1462"/>
      <c r="S407" s="1462"/>
      <c r="T407" s="1462"/>
      <c r="U407" s="1462"/>
      <c r="V407" s="1462"/>
      <c r="W407" s="1462"/>
      <c r="X407" s="1462"/>
      <c r="Y407" s="1462"/>
    </row>
    <row r="408" spans="1:25" x14ac:dyDescent="0.3">
      <c r="A408" s="2294"/>
      <c r="B408" s="2294"/>
      <c r="C408" s="2294"/>
      <c r="D408" s="2294"/>
      <c r="E408" s="1461"/>
      <c r="R408" s="1462"/>
      <c r="S408" s="1462"/>
      <c r="T408" s="1462"/>
      <c r="U408" s="1462"/>
      <c r="V408" s="1462"/>
      <c r="W408" s="1462"/>
      <c r="X408" s="1462"/>
      <c r="Y408" s="1462"/>
    </row>
    <row r="409" spans="1:25" x14ac:dyDescent="0.3">
      <c r="A409" s="2294"/>
      <c r="B409" s="2294"/>
      <c r="C409" s="2294"/>
      <c r="D409" s="2294"/>
      <c r="E409" s="1461"/>
      <c r="R409" s="1462"/>
      <c r="S409" s="1462"/>
      <c r="T409" s="1462"/>
      <c r="U409" s="1462"/>
      <c r="V409" s="1462"/>
      <c r="W409" s="1462"/>
      <c r="X409" s="1462"/>
      <c r="Y409" s="1462"/>
    </row>
    <row r="410" spans="1:25" x14ac:dyDescent="0.3">
      <c r="A410" s="2294"/>
      <c r="B410" s="2294"/>
      <c r="C410" s="2294"/>
      <c r="D410" s="2294"/>
      <c r="E410" s="1461"/>
      <c r="R410" s="1462"/>
      <c r="S410" s="1462"/>
      <c r="T410" s="1462"/>
      <c r="U410" s="1462"/>
      <c r="V410" s="1462"/>
      <c r="W410" s="1462"/>
      <c r="X410" s="1462"/>
      <c r="Y410" s="1462"/>
    </row>
    <row r="411" spans="1:25" x14ac:dyDescent="0.3">
      <c r="A411" s="2294"/>
      <c r="B411" s="2294"/>
      <c r="C411" s="2294"/>
      <c r="D411" s="2294"/>
      <c r="E411" s="1461"/>
      <c r="R411" s="1462"/>
      <c r="S411" s="1462"/>
      <c r="T411" s="1462"/>
      <c r="U411" s="1462"/>
      <c r="V411" s="1462"/>
      <c r="W411" s="1462"/>
      <c r="X411" s="1462"/>
      <c r="Y411" s="1462"/>
    </row>
    <row r="412" spans="1:25" x14ac:dyDescent="0.3">
      <c r="A412" s="2294"/>
      <c r="B412" s="2294"/>
      <c r="C412" s="2294"/>
      <c r="D412" s="2294"/>
      <c r="E412" s="1461"/>
      <c r="R412" s="1462"/>
      <c r="S412" s="1462"/>
      <c r="T412" s="1462"/>
      <c r="U412" s="1462"/>
      <c r="V412" s="1462"/>
      <c r="W412" s="1462"/>
      <c r="X412" s="1462"/>
      <c r="Y412" s="1462"/>
    </row>
    <row r="413" spans="1:25" x14ac:dyDescent="0.3">
      <c r="A413" s="2294"/>
      <c r="B413" s="2294"/>
      <c r="C413" s="2294"/>
      <c r="D413" s="2294"/>
      <c r="E413" s="1461"/>
      <c r="R413" s="1462"/>
      <c r="S413" s="1462"/>
      <c r="T413" s="1462"/>
      <c r="U413" s="1462"/>
      <c r="V413" s="1462"/>
      <c r="W413" s="1462"/>
      <c r="X413" s="1462"/>
      <c r="Y413" s="1462"/>
    </row>
    <row r="414" spans="1:25" x14ac:dyDescent="0.3">
      <c r="A414" s="2294"/>
      <c r="B414" s="2294"/>
      <c r="C414" s="2294"/>
      <c r="D414" s="2294"/>
      <c r="E414" s="1461"/>
      <c r="R414" s="1462"/>
      <c r="S414" s="1462"/>
      <c r="T414" s="1462"/>
      <c r="U414" s="1462"/>
      <c r="V414" s="1462"/>
      <c r="W414" s="1462"/>
      <c r="X414" s="1462"/>
      <c r="Y414" s="1462"/>
    </row>
    <row r="415" spans="1:25" x14ac:dyDescent="0.3">
      <c r="A415" s="2294"/>
      <c r="B415" s="2294"/>
      <c r="C415" s="2294"/>
      <c r="D415" s="2294"/>
      <c r="E415" s="1461"/>
      <c r="R415" s="1462"/>
      <c r="S415" s="1462"/>
      <c r="T415" s="1462"/>
      <c r="U415" s="1462"/>
      <c r="V415" s="1462"/>
      <c r="W415" s="1462"/>
      <c r="X415" s="1462"/>
      <c r="Y415" s="1462"/>
    </row>
    <row r="416" spans="1:25" x14ac:dyDescent="0.3">
      <c r="A416" s="2294"/>
      <c r="B416" s="2294"/>
      <c r="C416" s="2294"/>
      <c r="D416" s="2294"/>
      <c r="E416" s="1461"/>
      <c r="R416" s="1462"/>
      <c r="S416" s="1462"/>
      <c r="T416" s="1462"/>
      <c r="U416" s="1462"/>
      <c r="V416" s="1462"/>
      <c r="W416" s="1462"/>
      <c r="X416" s="1462"/>
      <c r="Y416" s="1462"/>
    </row>
    <row r="417" spans="1:25" x14ac:dyDescent="0.3">
      <c r="A417" s="2294"/>
      <c r="B417" s="2294"/>
      <c r="C417" s="2294"/>
      <c r="D417" s="2294"/>
      <c r="E417" s="1461"/>
      <c r="R417" s="1462"/>
      <c r="S417" s="1462"/>
      <c r="T417" s="1462"/>
      <c r="U417" s="1462"/>
      <c r="V417" s="1462"/>
      <c r="W417" s="1462"/>
      <c r="X417" s="1462"/>
      <c r="Y417" s="1462"/>
    </row>
    <row r="418" spans="1:25" x14ac:dyDescent="0.3">
      <c r="A418" s="2294"/>
      <c r="B418" s="2294"/>
      <c r="C418" s="2294"/>
      <c r="D418" s="2294"/>
      <c r="E418" s="1461"/>
      <c r="R418" s="1462"/>
      <c r="S418" s="1462"/>
      <c r="T418" s="1462"/>
      <c r="U418" s="1462"/>
      <c r="V418" s="1462"/>
      <c r="W418" s="1462"/>
      <c r="X418" s="1462"/>
      <c r="Y418" s="1462"/>
    </row>
    <row r="419" spans="1:25" x14ac:dyDescent="0.3">
      <c r="A419" s="2294"/>
      <c r="B419" s="2294"/>
      <c r="C419" s="2294"/>
      <c r="D419" s="2294"/>
      <c r="E419" s="1461"/>
      <c r="R419" s="1462"/>
      <c r="S419" s="1462"/>
      <c r="T419" s="1462"/>
      <c r="U419" s="1462"/>
      <c r="V419" s="1462"/>
      <c r="W419" s="1462"/>
      <c r="X419" s="1462"/>
      <c r="Y419" s="1462"/>
    </row>
    <row r="420" spans="1:25" x14ac:dyDescent="0.3">
      <c r="A420" s="2294"/>
      <c r="B420" s="2294"/>
      <c r="C420" s="2294"/>
      <c r="D420" s="2294"/>
      <c r="E420" s="1461"/>
      <c r="R420" s="1462"/>
      <c r="S420" s="1462"/>
      <c r="T420" s="1462"/>
      <c r="U420" s="1462"/>
      <c r="V420" s="1462"/>
      <c r="W420" s="1462"/>
      <c r="X420" s="1462"/>
      <c r="Y420" s="1462"/>
    </row>
    <row r="421" spans="1:25" x14ac:dyDescent="0.3">
      <c r="A421" s="2294"/>
      <c r="B421" s="2294"/>
      <c r="C421" s="2294"/>
      <c r="D421" s="2294"/>
      <c r="E421" s="1461"/>
      <c r="R421" s="1462"/>
      <c r="S421" s="1462"/>
      <c r="T421" s="1462"/>
      <c r="U421" s="1462"/>
      <c r="V421" s="1462"/>
      <c r="W421" s="1462"/>
      <c r="X421" s="1462"/>
      <c r="Y421" s="1462"/>
    </row>
    <row r="422" spans="1:25" x14ac:dyDescent="0.3">
      <c r="A422" s="2294"/>
      <c r="B422" s="2294"/>
      <c r="C422" s="2294"/>
      <c r="D422" s="2294"/>
      <c r="E422" s="1461"/>
      <c r="R422" s="1462"/>
      <c r="S422" s="1462"/>
      <c r="T422" s="1462"/>
      <c r="U422" s="1462"/>
      <c r="V422" s="1462"/>
      <c r="W422" s="1462"/>
      <c r="X422" s="1462"/>
      <c r="Y422" s="1462"/>
    </row>
    <row r="423" spans="1:25" x14ac:dyDescent="0.3">
      <c r="A423" s="2294"/>
      <c r="B423" s="2294"/>
      <c r="C423" s="2294"/>
      <c r="D423" s="2294"/>
      <c r="E423" s="1461"/>
      <c r="R423" s="1462"/>
      <c r="S423" s="1462"/>
      <c r="T423" s="1462"/>
      <c r="U423" s="1462"/>
      <c r="V423" s="1462"/>
      <c r="W423" s="1462"/>
      <c r="X423" s="1462"/>
      <c r="Y423" s="1462"/>
    </row>
    <row r="424" spans="1:25" x14ac:dyDescent="0.3">
      <c r="A424" s="2294"/>
      <c r="B424" s="2294"/>
      <c r="C424" s="2294"/>
      <c r="D424" s="2294"/>
      <c r="E424" s="1461"/>
      <c r="R424" s="1462"/>
      <c r="S424" s="1462"/>
      <c r="T424" s="1462"/>
      <c r="U424" s="1462"/>
      <c r="V424" s="1462"/>
      <c r="W424" s="1462"/>
      <c r="X424" s="1462"/>
      <c r="Y424" s="1462"/>
    </row>
    <row r="425" spans="1:25" x14ac:dyDescent="0.3">
      <c r="A425" s="2294"/>
      <c r="B425" s="2294"/>
      <c r="C425" s="2294"/>
      <c r="D425" s="2294"/>
      <c r="E425" s="1461"/>
      <c r="R425" s="1462"/>
      <c r="S425" s="1462"/>
      <c r="T425" s="1462"/>
      <c r="U425" s="1462"/>
      <c r="V425" s="1462"/>
      <c r="W425" s="1462"/>
      <c r="X425" s="1462"/>
      <c r="Y425" s="1462"/>
    </row>
    <row r="426" spans="1:25" x14ac:dyDescent="0.3">
      <c r="A426" s="2294"/>
      <c r="B426" s="2294"/>
      <c r="C426" s="2294"/>
      <c r="D426" s="2294"/>
      <c r="E426" s="1461"/>
      <c r="R426" s="1462"/>
      <c r="S426" s="1462"/>
      <c r="T426" s="1462"/>
      <c r="U426" s="1462"/>
      <c r="V426" s="1462"/>
      <c r="W426" s="1462"/>
      <c r="X426" s="1462"/>
      <c r="Y426" s="1462"/>
    </row>
    <row r="427" spans="1:25" x14ac:dyDescent="0.3">
      <c r="A427" s="2294"/>
      <c r="B427" s="2294"/>
      <c r="C427" s="2294"/>
      <c r="D427" s="2294"/>
      <c r="E427" s="1461"/>
      <c r="R427" s="1462"/>
      <c r="S427" s="1462"/>
      <c r="T427" s="1462"/>
      <c r="U427" s="1462"/>
      <c r="V427" s="1462"/>
      <c r="W427" s="1462"/>
      <c r="X427" s="1462"/>
      <c r="Y427" s="1462"/>
    </row>
    <row r="428" spans="1:25" x14ac:dyDescent="0.3">
      <c r="A428" s="2294"/>
      <c r="B428" s="2294"/>
      <c r="C428" s="2294"/>
      <c r="D428" s="2294"/>
      <c r="E428" s="1461"/>
      <c r="R428" s="1462"/>
      <c r="S428" s="1462"/>
      <c r="T428" s="1462"/>
      <c r="U428" s="1462"/>
      <c r="V428" s="1462"/>
      <c r="W428" s="1462"/>
      <c r="X428" s="1462"/>
      <c r="Y428" s="1462"/>
    </row>
    <row r="429" spans="1:25" x14ac:dyDescent="0.3">
      <c r="A429" s="2294"/>
      <c r="B429" s="2294"/>
      <c r="C429" s="2294"/>
      <c r="D429" s="2294"/>
      <c r="E429" s="1461"/>
      <c r="R429" s="1462"/>
      <c r="S429" s="1462"/>
      <c r="T429" s="1462"/>
      <c r="U429" s="1462"/>
      <c r="V429" s="1462"/>
      <c r="W429" s="1462"/>
      <c r="X429" s="1462"/>
      <c r="Y429" s="1462"/>
    </row>
    <row r="430" spans="1:25" x14ac:dyDescent="0.3">
      <c r="A430" s="2294"/>
      <c r="B430" s="2294"/>
      <c r="C430" s="2294"/>
      <c r="D430" s="2294"/>
      <c r="E430" s="1461"/>
      <c r="R430" s="1462"/>
      <c r="S430" s="1462"/>
      <c r="T430" s="1462"/>
      <c r="U430" s="1462"/>
      <c r="V430" s="1462"/>
      <c r="W430" s="1462"/>
      <c r="X430" s="1462"/>
      <c r="Y430" s="1462"/>
    </row>
    <row r="431" spans="1:25" x14ac:dyDescent="0.3">
      <c r="A431" s="2294"/>
      <c r="B431" s="2294"/>
      <c r="C431" s="2294"/>
      <c r="D431" s="2294"/>
      <c r="E431" s="1461"/>
      <c r="R431" s="1462"/>
      <c r="S431" s="1462"/>
      <c r="T431" s="1462"/>
      <c r="U431" s="1462"/>
      <c r="V431" s="1462"/>
      <c r="W431" s="1462"/>
      <c r="X431" s="1462"/>
      <c r="Y431" s="1462"/>
    </row>
    <row r="432" spans="1:25" x14ac:dyDescent="0.3">
      <c r="A432" s="2294"/>
      <c r="B432" s="2294"/>
      <c r="C432" s="2294"/>
      <c r="D432" s="2294"/>
      <c r="E432" s="1461"/>
      <c r="R432" s="1462"/>
      <c r="S432" s="1462"/>
      <c r="T432" s="1462"/>
      <c r="U432" s="1462"/>
      <c r="V432" s="1462"/>
      <c r="W432" s="1462"/>
      <c r="X432" s="1462"/>
      <c r="Y432" s="1462"/>
    </row>
    <row r="433" spans="1:25" x14ac:dyDescent="0.3">
      <c r="A433" s="2294"/>
      <c r="B433" s="2294"/>
      <c r="C433" s="2294"/>
      <c r="D433" s="2294"/>
      <c r="E433" s="1461"/>
      <c r="R433" s="1462"/>
      <c r="S433" s="1462"/>
      <c r="T433" s="1462"/>
      <c r="U433" s="1462"/>
      <c r="V433" s="1462"/>
      <c r="W433" s="1462"/>
      <c r="X433" s="1462"/>
      <c r="Y433" s="1462"/>
    </row>
    <row r="434" spans="1:25" x14ac:dyDescent="0.3">
      <c r="A434" s="2294"/>
      <c r="B434" s="2294"/>
      <c r="C434" s="2294"/>
      <c r="D434" s="2294"/>
      <c r="E434" s="1461"/>
      <c r="R434" s="1462"/>
      <c r="S434" s="1462"/>
      <c r="T434" s="1462"/>
      <c r="U434" s="1462"/>
      <c r="V434" s="1462"/>
      <c r="W434" s="1462"/>
      <c r="X434" s="1462"/>
      <c r="Y434" s="1462"/>
    </row>
    <row r="435" spans="1:25" x14ac:dyDescent="0.3">
      <c r="A435" s="2294"/>
      <c r="B435" s="2294"/>
      <c r="C435" s="2294"/>
      <c r="D435" s="2294"/>
      <c r="E435" s="1461"/>
      <c r="R435" s="1462"/>
      <c r="S435" s="1462"/>
      <c r="T435" s="1462"/>
      <c r="U435" s="1462"/>
      <c r="V435" s="1462"/>
      <c r="W435" s="1462"/>
      <c r="X435" s="1462"/>
      <c r="Y435" s="1462"/>
    </row>
    <row r="436" spans="1:25" x14ac:dyDescent="0.3">
      <c r="A436" s="2294"/>
      <c r="B436" s="2294"/>
      <c r="C436" s="2294"/>
      <c r="D436" s="2294"/>
      <c r="E436" s="1461"/>
      <c r="R436" s="1462"/>
      <c r="S436" s="1462"/>
      <c r="T436" s="1462"/>
      <c r="U436" s="1462"/>
      <c r="V436" s="1462"/>
      <c r="W436" s="1462"/>
      <c r="X436" s="1462"/>
      <c r="Y436" s="1462"/>
    </row>
    <row r="437" spans="1:25" x14ac:dyDescent="0.3">
      <c r="A437" s="2294"/>
      <c r="B437" s="2294"/>
      <c r="C437" s="2294"/>
      <c r="D437" s="2294"/>
      <c r="E437" s="1461"/>
      <c r="R437" s="1462"/>
      <c r="S437" s="1462"/>
      <c r="T437" s="1462"/>
      <c r="U437" s="1462"/>
      <c r="V437" s="1462"/>
      <c r="W437" s="1462"/>
      <c r="X437" s="1462"/>
      <c r="Y437" s="1462"/>
    </row>
    <row r="438" spans="1:25" x14ac:dyDescent="0.3">
      <c r="A438" s="2294"/>
      <c r="B438" s="2294"/>
      <c r="C438" s="2294"/>
      <c r="D438" s="2294"/>
      <c r="E438" s="1461"/>
      <c r="R438" s="1462"/>
      <c r="S438" s="1462"/>
      <c r="T438" s="1462"/>
      <c r="U438" s="1462"/>
      <c r="V438" s="1462"/>
      <c r="W438" s="1462"/>
      <c r="X438" s="1462"/>
      <c r="Y438" s="1462"/>
    </row>
    <row r="439" spans="1:25" x14ac:dyDescent="0.3">
      <c r="A439" s="2294"/>
      <c r="B439" s="2294"/>
      <c r="C439" s="2294"/>
      <c r="D439" s="2294"/>
      <c r="E439" s="1461"/>
      <c r="R439" s="1462"/>
      <c r="S439" s="1462"/>
      <c r="T439" s="1462"/>
      <c r="U439" s="1462"/>
      <c r="V439" s="1462"/>
      <c r="W439" s="1462"/>
      <c r="X439" s="1462"/>
      <c r="Y439" s="1462"/>
    </row>
    <row r="440" spans="1:25" x14ac:dyDescent="0.3">
      <c r="A440" s="2294"/>
      <c r="B440" s="2294"/>
      <c r="C440" s="2294"/>
      <c r="D440" s="2294"/>
      <c r="E440" s="1461"/>
      <c r="R440" s="1462"/>
      <c r="S440" s="1462"/>
      <c r="T440" s="1462"/>
      <c r="U440" s="1462"/>
      <c r="V440" s="1462"/>
      <c r="W440" s="1462"/>
      <c r="X440" s="1462"/>
      <c r="Y440" s="1462"/>
    </row>
    <row r="441" spans="1:25" x14ac:dyDescent="0.3">
      <c r="A441" s="2294"/>
      <c r="B441" s="2294"/>
      <c r="C441" s="2294"/>
      <c r="D441" s="2294"/>
      <c r="E441" s="1461"/>
      <c r="R441" s="1462"/>
      <c r="S441" s="1462"/>
      <c r="T441" s="1462"/>
      <c r="U441" s="1462"/>
      <c r="V441" s="1462"/>
      <c r="W441" s="1462"/>
      <c r="X441" s="1462"/>
      <c r="Y441" s="1462"/>
    </row>
    <row r="442" spans="1:25" x14ac:dyDescent="0.3">
      <c r="A442" s="2294"/>
      <c r="B442" s="2294"/>
      <c r="C442" s="2294"/>
      <c r="D442" s="2294"/>
      <c r="E442" s="1461"/>
      <c r="R442" s="1462"/>
      <c r="S442" s="1462"/>
      <c r="T442" s="1462"/>
      <c r="U442" s="1462"/>
      <c r="V442" s="1462"/>
      <c r="W442" s="1462"/>
      <c r="X442" s="1462"/>
      <c r="Y442" s="1462"/>
    </row>
    <row r="443" spans="1:25" x14ac:dyDescent="0.3">
      <c r="A443" s="2294"/>
      <c r="B443" s="2294"/>
      <c r="C443" s="2294"/>
      <c r="D443" s="2294"/>
      <c r="E443" s="1461"/>
      <c r="R443" s="1462"/>
      <c r="S443" s="1462"/>
      <c r="T443" s="1462"/>
      <c r="U443" s="1462"/>
      <c r="V443" s="1462"/>
      <c r="W443" s="1462"/>
      <c r="X443" s="1462"/>
      <c r="Y443" s="1462"/>
    </row>
    <row r="444" spans="1:25" x14ac:dyDescent="0.3">
      <c r="A444" s="2294"/>
      <c r="B444" s="2294"/>
      <c r="C444" s="2294"/>
      <c r="D444" s="2294"/>
      <c r="E444" s="1461"/>
      <c r="R444" s="1462"/>
      <c r="S444" s="1462"/>
      <c r="T444" s="1462"/>
      <c r="U444" s="1462"/>
      <c r="V444" s="1462"/>
      <c r="W444" s="1462"/>
      <c r="X444" s="1462"/>
      <c r="Y444" s="1462"/>
    </row>
    <row r="445" spans="1:25" x14ac:dyDescent="0.3">
      <c r="A445" s="2294"/>
      <c r="B445" s="2294"/>
      <c r="C445" s="2294"/>
      <c r="D445" s="2294"/>
      <c r="E445" s="1461"/>
      <c r="R445" s="1462"/>
      <c r="S445" s="1462"/>
      <c r="T445" s="1462"/>
      <c r="U445" s="1462"/>
      <c r="V445" s="1462"/>
      <c r="W445" s="1462"/>
      <c r="X445" s="1462"/>
      <c r="Y445" s="1462"/>
    </row>
    <row r="446" spans="1:25" x14ac:dyDescent="0.3">
      <c r="A446" s="2294"/>
      <c r="B446" s="2294"/>
      <c r="C446" s="2294"/>
      <c r="D446" s="2294"/>
      <c r="E446" s="1461"/>
      <c r="R446" s="1462"/>
      <c r="S446" s="1462"/>
      <c r="T446" s="1462"/>
      <c r="U446" s="1462"/>
      <c r="V446" s="1462"/>
      <c r="W446" s="1462"/>
      <c r="X446" s="1462"/>
      <c r="Y446" s="1462"/>
    </row>
    <row r="447" spans="1:25" x14ac:dyDescent="0.3">
      <c r="A447" s="2294"/>
      <c r="B447" s="2294"/>
      <c r="C447" s="2294"/>
      <c r="D447" s="2294"/>
      <c r="E447" s="1461"/>
      <c r="R447" s="1462"/>
      <c r="S447" s="1462"/>
      <c r="T447" s="1462"/>
      <c r="U447" s="1462"/>
      <c r="V447" s="1462"/>
      <c r="W447" s="1462"/>
      <c r="X447" s="1462"/>
      <c r="Y447" s="1462"/>
    </row>
    <row r="448" spans="1:25" x14ac:dyDescent="0.3">
      <c r="A448" s="2294"/>
      <c r="B448" s="2294"/>
      <c r="C448" s="2294"/>
      <c r="D448" s="2294"/>
      <c r="E448" s="1461"/>
      <c r="R448" s="1462"/>
      <c r="S448" s="1462"/>
      <c r="T448" s="1462"/>
      <c r="U448" s="1462"/>
      <c r="V448" s="1462"/>
      <c r="W448" s="1462"/>
      <c r="X448" s="1462"/>
      <c r="Y448" s="1462"/>
    </row>
    <row r="449" spans="1:25" x14ac:dyDescent="0.3">
      <c r="A449" s="2294"/>
      <c r="B449" s="2294"/>
      <c r="C449" s="2294"/>
      <c r="D449" s="2294"/>
      <c r="E449" s="1461"/>
      <c r="R449" s="1462"/>
      <c r="S449" s="1462"/>
      <c r="T449" s="1462"/>
      <c r="U449" s="1462"/>
      <c r="V449" s="1462"/>
      <c r="W449" s="1462"/>
      <c r="X449" s="1462"/>
      <c r="Y449" s="1462"/>
    </row>
    <row r="450" spans="1:25" x14ac:dyDescent="0.3">
      <c r="A450" s="2294"/>
      <c r="B450" s="2294"/>
      <c r="C450" s="2294"/>
      <c r="D450" s="2294"/>
      <c r="E450" s="1461"/>
      <c r="R450" s="1462"/>
      <c r="S450" s="1462"/>
      <c r="T450" s="1462"/>
      <c r="U450" s="1462"/>
      <c r="V450" s="1462"/>
      <c r="W450" s="1462"/>
      <c r="X450" s="1462"/>
      <c r="Y450" s="1462"/>
    </row>
    <row r="451" spans="1:25" x14ac:dyDescent="0.3">
      <c r="A451" s="2294"/>
      <c r="B451" s="2294"/>
      <c r="C451" s="2294"/>
      <c r="D451" s="2294"/>
      <c r="E451" s="1461"/>
      <c r="R451" s="1462"/>
      <c r="S451" s="1462"/>
      <c r="T451" s="1462"/>
      <c r="U451" s="1462"/>
      <c r="V451" s="1462"/>
      <c r="W451" s="1462"/>
      <c r="X451" s="1462"/>
      <c r="Y451" s="1462"/>
    </row>
    <row r="452" spans="1:25" x14ac:dyDescent="0.3">
      <c r="A452" s="2294"/>
      <c r="B452" s="2294"/>
      <c r="C452" s="2294"/>
      <c r="D452" s="2294"/>
      <c r="E452" s="1461"/>
      <c r="R452" s="1462"/>
      <c r="S452" s="1462"/>
      <c r="T452" s="1462"/>
      <c r="U452" s="1462"/>
      <c r="V452" s="1462"/>
      <c r="W452" s="1462"/>
      <c r="X452" s="1462"/>
      <c r="Y452" s="1462"/>
    </row>
    <row r="453" spans="1:25" x14ac:dyDescent="0.3">
      <c r="A453" s="2294"/>
      <c r="B453" s="2294"/>
      <c r="C453" s="2294"/>
      <c r="D453" s="2294"/>
      <c r="E453" s="1461"/>
      <c r="R453" s="1462"/>
      <c r="S453" s="1462"/>
      <c r="T453" s="1462"/>
      <c r="U453" s="1462"/>
      <c r="V453" s="1462"/>
      <c r="W453" s="1462"/>
      <c r="X453" s="1462"/>
      <c r="Y453" s="1462"/>
    </row>
    <row r="454" spans="1:25" x14ac:dyDescent="0.3">
      <c r="A454" s="2294"/>
      <c r="B454" s="2294"/>
      <c r="C454" s="2294"/>
      <c r="D454" s="2294"/>
      <c r="E454" s="1461"/>
      <c r="R454" s="1462"/>
      <c r="S454" s="1462"/>
      <c r="T454" s="1462"/>
      <c r="U454" s="1462"/>
      <c r="V454" s="1462"/>
      <c r="W454" s="1462"/>
      <c r="X454" s="1462"/>
      <c r="Y454" s="1462"/>
    </row>
    <row r="455" spans="1:25" x14ac:dyDescent="0.3">
      <c r="A455" s="2294"/>
      <c r="B455" s="2294"/>
      <c r="C455" s="2294"/>
      <c r="D455" s="2294"/>
      <c r="E455" s="1461"/>
      <c r="R455" s="1462"/>
      <c r="S455" s="1462"/>
      <c r="T455" s="1462"/>
      <c r="U455" s="1462"/>
      <c r="V455" s="1462"/>
      <c r="W455" s="1462"/>
      <c r="X455" s="1462"/>
      <c r="Y455" s="1462"/>
    </row>
    <row r="456" spans="1:25" x14ac:dyDescent="0.3">
      <c r="A456" s="2294"/>
      <c r="B456" s="2294"/>
      <c r="C456" s="2294"/>
      <c r="D456" s="2294"/>
      <c r="E456" s="1461"/>
      <c r="R456" s="1462"/>
      <c r="S456" s="1462"/>
      <c r="T456" s="1462"/>
      <c r="U456" s="1462"/>
      <c r="V456" s="1462"/>
      <c r="W456" s="1462"/>
      <c r="X456" s="1462"/>
      <c r="Y456" s="1462"/>
    </row>
    <row r="457" spans="1:25" x14ac:dyDescent="0.3">
      <c r="A457" s="2294"/>
      <c r="B457" s="2294"/>
      <c r="C457" s="2294"/>
      <c r="D457" s="2294"/>
      <c r="E457" s="1461"/>
      <c r="R457" s="1462"/>
      <c r="S457" s="1462"/>
      <c r="T457" s="1462"/>
      <c r="U457" s="1462"/>
      <c r="V457" s="1462"/>
      <c r="W457" s="1462"/>
      <c r="X457" s="1462"/>
      <c r="Y457" s="1462"/>
    </row>
    <row r="458" spans="1:25" x14ac:dyDescent="0.3">
      <c r="A458" s="2294"/>
      <c r="B458" s="2294"/>
      <c r="C458" s="2294"/>
      <c r="D458" s="2294"/>
      <c r="E458" s="1461"/>
      <c r="R458" s="1462"/>
      <c r="S458" s="1462"/>
      <c r="T458" s="1462"/>
      <c r="U458" s="1462"/>
      <c r="V458" s="1462"/>
      <c r="W458" s="1462"/>
      <c r="X458" s="1462"/>
      <c r="Y458" s="1462"/>
    </row>
    <row r="459" spans="1:25" x14ac:dyDescent="0.3">
      <c r="A459" s="2294"/>
      <c r="B459" s="2294"/>
      <c r="C459" s="2294"/>
      <c r="D459" s="2294"/>
      <c r="E459" s="1461"/>
      <c r="R459" s="1462"/>
      <c r="S459" s="1462"/>
      <c r="T459" s="1462"/>
      <c r="U459" s="1462"/>
      <c r="V459" s="1462"/>
      <c r="W459" s="1462"/>
      <c r="X459" s="1462"/>
      <c r="Y459" s="1462"/>
    </row>
    <row r="460" spans="1:25" x14ac:dyDescent="0.3">
      <c r="A460" s="2294"/>
      <c r="B460" s="2294"/>
      <c r="C460" s="2294"/>
      <c r="D460" s="2294"/>
      <c r="E460" s="1461"/>
      <c r="R460" s="1462"/>
      <c r="S460" s="1462"/>
      <c r="T460" s="1462"/>
      <c r="U460" s="1462"/>
      <c r="V460" s="1462"/>
      <c r="W460" s="1462"/>
      <c r="X460" s="1462"/>
      <c r="Y460" s="1462"/>
    </row>
    <row r="461" spans="1:25" x14ac:dyDescent="0.3">
      <c r="A461" s="2294"/>
      <c r="B461" s="2294"/>
      <c r="C461" s="2294"/>
      <c r="D461" s="2294"/>
      <c r="E461" s="1461"/>
      <c r="R461" s="1462"/>
      <c r="S461" s="1462"/>
      <c r="T461" s="1462"/>
      <c r="U461" s="1462"/>
      <c r="V461" s="1462"/>
      <c r="W461" s="1462"/>
      <c r="X461" s="1462"/>
      <c r="Y461" s="1462"/>
    </row>
    <row r="462" spans="1:25" x14ac:dyDescent="0.3">
      <c r="A462" s="2294"/>
      <c r="B462" s="2294"/>
      <c r="C462" s="2294"/>
      <c r="D462" s="2294"/>
      <c r="E462" s="1461"/>
      <c r="R462" s="1462"/>
      <c r="S462" s="1462"/>
      <c r="T462" s="1462"/>
      <c r="U462" s="1462"/>
      <c r="V462" s="1462"/>
      <c r="W462" s="1462"/>
      <c r="X462" s="1462"/>
      <c r="Y462" s="1462"/>
    </row>
    <row r="463" spans="1:25" x14ac:dyDescent="0.3">
      <c r="A463" s="2294"/>
      <c r="B463" s="2294"/>
      <c r="C463" s="2294"/>
      <c r="D463" s="2294"/>
      <c r="E463" s="1461"/>
      <c r="R463" s="1462"/>
      <c r="S463" s="1462"/>
      <c r="T463" s="1462"/>
      <c r="U463" s="1462"/>
      <c r="V463" s="1462"/>
      <c r="W463" s="1462"/>
      <c r="X463" s="1462"/>
      <c r="Y463" s="1462"/>
    </row>
    <row r="464" spans="1:25" x14ac:dyDescent="0.3">
      <c r="A464" s="2294"/>
      <c r="B464" s="2294"/>
      <c r="C464" s="2294"/>
      <c r="D464" s="2294"/>
      <c r="E464" s="1461"/>
      <c r="R464" s="1462"/>
      <c r="S464" s="1462"/>
      <c r="T464" s="1462"/>
      <c r="U464" s="1462"/>
      <c r="V464" s="1462"/>
      <c r="W464" s="1462"/>
      <c r="X464" s="1462"/>
      <c r="Y464" s="1462"/>
    </row>
    <row r="465" spans="1:25" x14ac:dyDescent="0.3">
      <c r="A465" s="2294"/>
      <c r="B465" s="2294"/>
      <c r="C465" s="2294"/>
      <c r="D465" s="2294"/>
      <c r="E465" s="1461"/>
      <c r="R465" s="1462"/>
      <c r="S465" s="1462"/>
      <c r="T465" s="1462"/>
      <c r="U465" s="1462"/>
      <c r="V465" s="1462"/>
      <c r="W465" s="1462"/>
      <c r="X465" s="1462"/>
      <c r="Y465" s="1462"/>
    </row>
    <row r="466" spans="1:25" x14ac:dyDescent="0.3">
      <c r="A466" s="2294"/>
      <c r="B466" s="2294"/>
      <c r="C466" s="2294"/>
      <c r="D466" s="2294"/>
      <c r="E466" s="1461"/>
      <c r="R466" s="1462"/>
      <c r="S466" s="1462"/>
      <c r="T466" s="1462"/>
      <c r="U466" s="1462"/>
      <c r="V466" s="1462"/>
      <c r="W466" s="1462"/>
      <c r="X466" s="1462"/>
      <c r="Y466" s="1462"/>
    </row>
    <row r="467" spans="1:25" x14ac:dyDescent="0.3">
      <c r="A467" s="2294"/>
      <c r="B467" s="2294"/>
      <c r="C467" s="2294"/>
      <c r="D467" s="2294"/>
      <c r="E467" s="1461"/>
      <c r="R467" s="1462"/>
      <c r="S467" s="1462"/>
      <c r="T467" s="1462"/>
      <c r="U467" s="1462"/>
      <c r="V467" s="1462"/>
      <c r="W467" s="1462"/>
      <c r="X467" s="1462"/>
      <c r="Y467" s="1462"/>
    </row>
    <row r="468" spans="1:25" x14ac:dyDescent="0.3">
      <c r="A468" s="2294"/>
      <c r="B468" s="2294"/>
      <c r="C468" s="2294"/>
      <c r="D468" s="2294"/>
      <c r="E468" s="1461"/>
      <c r="R468" s="1462"/>
      <c r="S468" s="1462"/>
      <c r="T468" s="1462"/>
      <c r="U468" s="1462"/>
      <c r="V468" s="1462"/>
      <c r="W468" s="1462"/>
      <c r="X468" s="1462"/>
      <c r="Y468" s="1462"/>
    </row>
    <row r="469" spans="1:25" x14ac:dyDescent="0.3">
      <c r="A469" s="2294"/>
      <c r="B469" s="2294"/>
      <c r="C469" s="2294"/>
      <c r="D469" s="2294"/>
      <c r="E469" s="1461"/>
      <c r="R469" s="1462"/>
      <c r="S469" s="1462"/>
      <c r="T469" s="1462"/>
      <c r="U469" s="1462"/>
      <c r="V469" s="1462"/>
      <c r="W469" s="1462"/>
      <c r="X469" s="1462"/>
      <c r="Y469" s="1462"/>
    </row>
    <row r="470" spans="1:25" x14ac:dyDescent="0.3">
      <c r="A470" s="2294"/>
      <c r="B470" s="2294"/>
      <c r="C470" s="2294"/>
      <c r="D470" s="2294"/>
      <c r="E470" s="1461"/>
      <c r="R470" s="1462"/>
      <c r="S470" s="1462"/>
      <c r="T470" s="1462"/>
      <c r="U470" s="1462"/>
      <c r="V470" s="1462"/>
      <c r="W470" s="1462"/>
      <c r="X470" s="1462"/>
      <c r="Y470" s="1462"/>
    </row>
    <row r="471" spans="1:25" x14ac:dyDescent="0.3">
      <c r="A471" s="2294"/>
      <c r="B471" s="2294"/>
      <c r="C471" s="2294"/>
      <c r="D471" s="2294"/>
      <c r="E471" s="1461"/>
      <c r="R471" s="1462"/>
      <c r="S471" s="1462"/>
      <c r="T471" s="1462"/>
      <c r="U471" s="1462"/>
      <c r="V471" s="1462"/>
      <c r="W471" s="1462"/>
      <c r="X471" s="1462"/>
      <c r="Y471" s="1462"/>
    </row>
    <row r="472" spans="1:25" x14ac:dyDescent="0.3">
      <c r="A472" s="2294"/>
      <c r="B472" s="2294"/>
      <c r="C472" s="2294"/>
      <c r="D472" s="2294"/>
      <c r="E472" s="1461"/>
      <c r="R472" s="1462"/>
      <c r="S472" s="1462"/>
      <c r="T472" s="1462"/>
      <c r="U472" s="1462"/>
      <c r="V472" s="1462"/>
      <c r="W472" s="1462"/>
      <c r="X472" s="1462"/>
      <c r="Y472" s="1462"/>
    </row>
    <row r="473" spans="1:25" x14ac:dyDescent="0.3">
      <c r="A473" s="2294"/>
      <c r="B473" s="2294"/>
      <c r="C473" s="2294"/>
      <c r="D473" s="2294"/>
      <c r="E473" s="1461"/>
      <c r="R473" s="1462"/>
      <c r="S473" s="1462"/>
      <c r="T473" s="1462"/>
      <c r="U473" s="1462"/>
      <c r="V473" s="1462"/>
      <c r="W473" s="1462"/>
      <c r="X473" s="1462"/>
      <c r="Y473" s="1462"/>
    </row>
    <row r="474" spans="1:25" x14ac:dyDescent="0.3">
      <c r="A474" s="2294"/>
      <c r="B474" s="2294"/>
      <c r="C474" s="2294"/>
      <c r="D474" s="2294"/>
      <c r="E474" s="1461"/>
      <c r="R474" s="1462"/>
      <c r="S474" s="1462"/>
      <c r="T474" s="1462"/>
      <c r="U474" s="1462"/>
      <c r="V474" s="1462"/>
      <c r="W474" s="1462"/>
      <c r="X474" s="1462"/>
      <c r="Y474" s="1462"/>
    </row>
    <row r="475" spans="1:25" x14ac:dyDescent="0.3">
      <c r="A475" s="2294"/>
      <c r="B475" s="2294"/>
      <c r="C475" s="2294"/>
      <c r="D475" s="2294"/>
      <c r="E475" s="1461"/>
      <c r="R475" s="1462"/>
      <c r="S475" s="1462"/>
      <c r="T475" s="1462"/>
      <c r="U475" s="1462"/>
      <c r="V475" s="1462"/>
      <c r="W475" s="1462"/>
      <c r="X475" s="1462"/>
      <c r="Y475" s="1462"/>
    </row>
    <row r="476" spans="1:25" x14ac:dyDescent="0.3">
      <c r="A476" s="2294"/>
      <c r="B476" s="2294"/>
      <c r="C476" s="2294"/>
      <c r="D476" s="2294"/>
      <c r="E476" s="1461"/>
      <c r="R476" s="1462"/>
      <c r="S476" s="1462"/>
      <c r="T476" s="1462"/>
      <c r="U476" s="1462"/>
      <c r="V476" s="1462"/>
      <c r="W476" s="1462"/>
      <c r="X476" s="1462"/>
      <c r="Y476" s="1462"/>
    </row>
    <row r="477" spans="1:25" x14ac:dyDescent="0.3">
      <c r="A477" s="2294"/>
      <c r="B477" s="2294"/>
      <c r="C477" s="2294"/>
      <c r="D477" s="2294"/>
      <c r="E477" s="1461"/>
      <c r="R477" s="1462"/>
      <c r="S477" s="1462"/>
      <c r="T477" s="1462"/>
      <c r="U477" s="1462"/>
      <c r="V477" s="1462"/>
      <c r="W477" s="1462"/>
      <c r="X477" s="1462"/>
      <c r="Y477" s="1462"/>
    </row>
    <row r="478" spans="1:25" x14ac:dyDescent="0.3">
      <c r="A478" s="2294"/>
      <c r="B478" s="2294"/>
      <c r="C478" s="2294"/>
      <c r="D478" s="2294"/>
      <c r="E478" s="1461"/>
      <c r="R478" s="1462"/>
      <c r="S478" s="1462"/>
      <c r="T478" s="1462"/>
      <c r="U478" s="1462"/>
      <c r="V478" s="1462"/>
      <c r="W478" s="1462"/>
      <c r="X478" s="1462"/>
      <c r="Y478" s="1462"/>
    </row>
    <row r="479" spans="1:25" x14ac:dyDescent="0.3">
      <c r="A479" s="2294"/>
      <c r="B479" s="2294"/>
      <c r="C479" s="2294"/>
      <c r="D479" s="2294"/>
      <c r="E479" s="1461"/>
      <c r="R479" s="1462"/>
      <c r="S479" s="1462"/>
      <c r="T479" s="1462"/>
      <c r="U479" s="1462"/>
      <c r="V479" s="1462"/>
      <c r="W479" s="1462"/>
      <c r="X479" s="1462"/>
      <c r="Y479" s="1462"/>
    </row>
    <row r="480" spans="1:25" x14ac:dyDescent="0.3">
      <c r="A480" s="2294"/>
      <c r="B480" s="2294"/>
      <c r="C480" s="2294"/>
      <c r="D480" s="2294"/>
      <c r="E480" s="1461"/>
      <c r="R480" s="1462"/>
      <c r="S480" s="1462"/>
      <c r="T480" s="1462"/>
      <c r="U480" s="1462"/>
      <c r="V480" s="1462"/>
      <c r="W480" s="1462"/>
      <c r="X480" s="1462"/>
      <c r="Y480" s="1462"/>
    </row>
    <row r="481" spans="1:25" x14ac:dyDescent="0.3">
      <c r="A481" s="2294"/>
      <c r="B481" s="2294"/>
      <c r="C481" s="2294"/>
      <c r="D481" s="2294"/>
      <c r="E481" s="1461"/>
      <c r="R481" s="1462"/>
      <c r="S481" s="1462"/>
      <c r="T481" s="1462"/>
      <c r="U481" s="1462"/>
      <c r="V481" s="1462"/>
      <c r="W481" s="1462"/>
      <c r="X481" s="1462"/>
      <c r="Y481" s="1462"/>
    </row>
    <row r="482" spans="1:25" x14ac:dyDescent="0.3">
      <c r="A482" s="2294"/>
      <c r="B482" s="2294"/>
      <c r="C482" s="2294"/>
      <c r="D482" s="2294"/>
      <c r="E482" s="1461"/>
      <c r="R482" s="1462"/>
      <c r="S482" s="1462"/>
      <c r="T482" s="1462"/>
      <c r="U482" s="1462"/>
      <c r="V482" s="1462"/>
      <c r="W482" s="1462"/>
      <c r="X482" s="1462"/>
      <c r="Y482" s="1462"/>
    </row>
    <row r="483" spans="1:25" x14ac:dyDescent="0.3">
      <c r="A483" s="2294"/>
      <c r="B483" s="2294"/>
      <c r="C483" s="2294"/>
      <c r="D483" s="2294"/>
      <c r="E483" s="1461"/>
      <c r="R483" s="1462"/>
      <c r="S483" s="1462"/>
      <c r="T483" s="1462"/>
      <c r="U483" s="1462"/>
      <c r="V483" s="1462"/>
      <c r="W483" s="1462"/>
      <c r="X483" s="1462"/>
      <c r="Y483" s="1462"/>
    </row>
    <row r="484" spans="1:25" x14ac:dyDescent="0.3">
      <c r="A484" s="2294"/>
      <c r="B484" s="2294"/>
      <c r="C484" s="2294"/>
      <c r="D484" s="2294"/>
      <c r="E484" s="1461"/>
      <c r="R484" s="1462"/>
      <c r="S484" s="1462"/>
      <c r="T484" s="1462"/>
      <c r="U484" s="1462"/>
      <c r="V484" s="1462"/>
      <c r="W484" s="1462"/>
      <c r="X484" s="1462"/>
      <c r="Y484" s="1462"/>
    </row>
    <row r="485" spans="1:25" x14ac:dyDescent="0.3">
      <c r="A485" s="2294"/>
      <c r="B485" s="2294"/>
      <c r="C485" s="2294"/>
      <c r="D485" s="2294"/>
      <c r="E485" s="1461"/>
      <c r="R485" s="1462"/>
      <c r="S485" s="1462"/>
      <c r="T485" s="1462"/>
      <c r="U485" s="1462"/>
      <c r="V485" s="1462"/>
      <c r="W485" s="1462"/>
      <c r="X485" s="1462"/>
      <c r="Y485" s="1462"/>
    </row>
    <row r="486" spans="1:25" x14ac:dyDescent="0.3">
      <c r="A486" s="2294"/>
      <c r="B486" s="2294"/>
      <c r="C486" s="2294"/>
      <c r="D486" s="2294"/>
      <c r="E486" s="1461"/>
      <c r="R486" s="1462"/>
      <c r="S486" s="1462"/>
      <c r="T486" s="1462"/>
      <c r="U486" s="1462"/>
      <c r="V486" s="1462"/>
      <c r="W486" s="1462"/>
      <c r="X486" s="1462"/>
      <c r="Y486" s="1462"/>
    </row>
    <row r="487" spans="1:25" x14ac:dyDescent="0.3">
      <c r="A487" s="2294"/>
      <c r="B487" s="2294"/>
      <c r="C487" s="2294"/>
      <c r="D487" s="2294"/>
      <c r="E487" s="1461"/>
      <c r="R487" s="1462"/>
      <c r="S487" s="1462"/>
      <c r="T487" s="1462"/>
      <c r="U487" s="1462"/>
      <c r="V487" s="1462"/>
      <c r="W487" s="1462"/>
      <c r="X487" s="1462"/>
      <c r="Y487" s="1462"/>
    </row>
    <row r="488" spans="1:25" x14ac:dyDescent="0.3">
      <c r="A488" s="2294"/>
      <c r="B488" s="2294"/>
      <c r="C488" s="2294"/>
      <c r="D488" s="2294"/>
      <c r="E488" s="1461"/>
      <c r="R488" s="1462"/>
      <c r="S488" s="1462"/>
      <c r="T488" s="1462"/>
      <c r="U488" s="1462"/>
      <c r="V488" s="1462"/>
      <c r="W488" s="1462"/>
      <c r="X488" s="1462"/>
      <c r="Y488" s="1462"/>
    </row>
    <row r="489" spans="1:25" x14ac:dyDescent="0.3">
      <c r="A489" s="2294"/>
      <c r="B489" s="2294"/>
      <c r="C489" s="2294"/>
      <c r="D489" s="2294"/>
      <c r="E489" s="1461"/>
      <c r="R489" s="1462"/>
      <c r="S489" s="1462"/>
      <c r="T489" s="1462"/>
      <c r="U489" s="1462"/>
      <c r="V489" s="1462"/>
      <c r="W489" s="1462"/>
      <c r="X489" s="1462"/>
      <c r="Y489" s="1462"/>
    </row>
    <row r="490" spans="1:25" x14ac:dyDescent="0.3">
      <c r="A490" s="2294"/>
      <c r="B490" s="2294"/>
      <c r="C490" s="2294"/>
      <c r="D490" s="2294"/>
      <c r="E490" s="1461"/>
      <c r="R490" s="1462"/>
      <c r="S490" s="1462"/>
      <c r="T490" s="1462"/>
      <c r="U490" s="1462"/>
      <c r="V490" s="1462"/>
      <c r="W490" s="1462"/>
      <c r="X490" s="1462"/>
      <c r="Y490" s="1462"/>
    </row>
    <row r="491" spans="1:25" x14ac:dyDescent="0.3">
      <c r="A491" s="2294"/>
      <c r="B491" s="2294"/>
      <c r="C491" s="2294"/>
      <c r="D491" s="2294"/>
      <c r="E491" s="1461"/>
      <c r="R491" s="1462"/>
      <c r="S491" s="1462"/>
      <c r="T491" s="1462"/>
      <c r="U491" s="1462"/>
      <c r="V491" s="1462"/>
      <c r="W491" s="1462"/>
      <c r="X491" s="1462"/>
      <c r="Y491" s="1462"/>
    </row>
    <row r="492" spans="1:25" x14ac:dyDescent="0.3">
      <c r="A492" s="2294"/>
      <c r="B492" s="2294"/>
      <c r="C492" s="2294"/>
      <c r="D492" s="2294"/>
      <c r="E492" s="1461"/>
      <c r="R492" s="1462"/>
      <c r="S492" s="1462"/>
      <c r="T492" s="1462"/>
      <c r="U492" s="1462"/>
      <c r="V492" s="1462"/>
      <c r="W492" s="1462"/>
      <c r="X492" s="1462"/>
      <c r="Y492" s="1462"/>
    </row>
    <row r="493" spans="1:25" x14ac:dyDescent="0.3">
      <c r="A493" s="2294"/>
      <c r="B493" s="2294"/>
      <c r="C493" s="2294"/>
      <c r="D493" s="2294"/>
      <c r="E493" s="1461"/>
      <c r="R493" s="1462"/>
      <c r="S493" s="1462"/>
      <c r="T493" s="1462"/>
      <c r="U493" s="1462"/>
      <c r="V493" s="1462"/>
      <c r="W493" s="1462"/>
      <c r="X493" s="1462"/>
      <c r="Y493" s="1462"/>
    </row>
    <row r="494" spans="1:25" x14ac:dyDescent="0.3">
      <c r="A494" s="2294"/>
      <c r="B494" s="2294"/>
      <c r="C494" s="2294"/>
      <c r="D494" s="2294"/>
      <c r="E494" s="1461"/>
      <c r="R494" s="1462"/>
      <c r="S494" s="1462"/>
      <c r="T494" s="1462"/>
      <c r="U494" s="1462"/>
      <c r="V494" s="1462"/>
      <c r="W494" s="1462"/>
      <c r="X494" s="1462"/>
      <c r="Y494" s="1462"/>
    </row>
    <row r="495" spans="1:25" x14ac:dyDescent="0.3">
      <c r="A495" s="2294"/>
      <c r="B495" s="2294"/>
      <c r="C495" s="2294"/>
      <c r="D495" s="2294"/>
      <c r="E495" s="1461"/>
      <c r="R495" s="1462"/>
      <c r="S495" s="1462"/>
      <c r="T495" s="1462"/>
      <c r="U495" s="1462"/>
      <c r="V495" s="1462"/>
      <c r="W495" s="1462"/>
      <c r="X495" s="1462"/>
      <c r="Y495" s="1462"/>
    </row>
    <row r="496" spans="1:25" x14ac:dyDescent="0.3">
      <c r="A496" s="2294"/>
      <c r="B496" s="2294"/>
      <c r="C496" s="2294"/>
      <c r="D496" s="2294"/>
      <c r="E496" s="1461"/>
      <c r="R496" s="1462"/>
      <c r="S496" s="1462"/>
      <c r="T496" s="1462"/>
      <c r="U496" s="1462"/>
      <c r="V496" s="1462"/>
      <c r="W496" s="1462"/>
      <c r="X496" s="1462"/>
      <c r="Y496" s="1462"/>
    </row>
    <row r="497" spans="1:25" x14ac:dyDescent="0.3">
      <c r="A497" s="2294"/>
      <c r="B497" s="2294"/>
      <c r="C497" s="2294"/>
      <c r="D497" s="2294"/>
      <c r="E497" s="1461"/>
      <c r="R497" s="1462"/>
      <c r="S497" s="1462"/>
      <c r="T497" s="1462"/>
      <c r="U497" s="1462"/>
      <c r="V497" s="1462"/>
      <c r="W497" s="1462"/>
      <c r="X497" s="1462"/>
      <c r="Y497" s="1462"/>
    </row>
    <row r="498" spans="1:25" x14ac:dyDescent="0.3">
      <c r="A498" s="2294"/>
      <c r="B498" s="2294"/>
      <c r="C498" s="2294"/>
      <c r="D498" s="2294"/>
      <c r="E498" s="1461"/>
      <c r="R498" s="1462"/>
      <c r="S498" s="1462"/>
      <c r="T498" s="1462"/>
      <c r="U498" s="1462"/>
      <c r="V498" s="1462"/>
      <c r="W498" s="1462"/>
      <c r="X498" s="1462"/>
      <c r="Y498" s="1462"/>
    </row>
    <row r="499" spans="1:25" x14ac:dyDescent="0.3">
      <c r="A499" s="2294"/>
      <c r="B499" s="2294"/>
      <c r="C499" s="2294"/>
      <c r="D499" s="2294"/>
      <c r="E499" s="1461"/>
      <c r="R499" s="1462"/>
      <c r="S499" s="1462"/>
      <c r="T499" s="1462"/>
      <c r="U499" s="1462"/>
      <c r="V499" s="1462"/>
      <c r="W499" s="1462"/>
      <c r="X499" s="1462"/>
      <c r="Y499" s="1462"/>
    </row>
    <row r="500" spans="1:25" x14ac:dyDescent="0.3">
      <c r="A500" s="2294"/>
      <c r="B500" s="2294"/>
      <c r="C500" s="2294"/>
      <c r="D500" s="2294"/>
      <c r="E500" s="1461"/>
      <c r="R500" s="1462"/>
      <c r="S500" s="1462"/>
      <c r="T500" s="1462"/>
      <c r="U500" s="1462"/>
      <c r="V500" s="1462"/>
      <c r="W500" s="1462"/>
      <c r="X500" s="1462"/>
      <c r="Y500" s="1462"/>
    </row>
    <row r="501" spans="1:25" x14ac:dyDescent="0.3">
      <c r="A501" s="2294"/>
      <c r="B501" s="2294"/>
      <c r="C501" s="2294"/>
      <c r="D501" s="2294"/>
      <c r="E501" s="1461"/>
      <c r="R501" s="1462"/>
      <c r="S501" s="1462"/>
      <c r="T501" s="1462"/>
      <c r="U501" s="1462"/>
      <c r="V501" s="1462"/>
      <c r="W501" s="1462"/>
      <c r="X501" s="1462"/>
      <c r="Y501" s="1462"/>
    </row>
    <row r="502" spans="1:25" x14ac:dyDescent="0.3">
      <c r="A502" s="2294"/>
      <c r="B502" s="2294"/>
      <c r="C502" s="2294"/>
      <c r="D502" s="2294"/>
      <c r="E502" s="1461"/>
      <c r="R502" s="1462"/>
      <c r="S502" s="1462"/>
      <c r="T502" s="1462"/>
      <c r="U502" s="1462"/>
      <c r="V502" s="1462"/>
      <c r="W502" s="1462"/>
      <c r="X502" s="1462"/>
      <c r="Y502" s="1462"/>
    </row>
    <row r="503" spans="1:25" x14ac:dyDescent="0.3">
      <c r="A503" s="2294"/>
      <c r="B503" s="2294"/>
      <c r="C503" s="2294"/>
      <c r="D503" s="2294"/>
      <c r="E503" s="1461"/>
      <c r="R503" s="1462"/>
      <c r="S503" s="1462"/>
      <c r="T503" s="1462"/>
      <c r="U503" s="1462"/>
      <c r="V503" s="1462"/>
      <c r="W503" s="1462"/>
      <c r="X503" s="1462"/>
      <c r="Y503" s="1462"/>
    </row>
    <row r="504" spans="1:25" x14ac:dyDescent="0.3">
      <c r="A504" s="2294"/>
      <c r="B504" s="2294"/>
      <c r="C504" s="2294"/>
      <c r="D504" s="2294"/>
      <c r="E504" s="1461"/>
      <c r="R504" s="1462"/>
      <c r="S504" s="1462"/>
      <c r="T504" s="1462"/>
      <c r="U504" s="1462"/>
      <c r="V504" s="1462"/>
      <c r="W504" s="1462"/>
      <c r="X504" s="1462"/>
      <c r="Y504" s="1462"/>
    </row>
    <row r="505" spans="1:25" x14ac:dyDescent="0.3">
      <c r="A505" s="2294"/>
      <c r="B505" s="2294"/>
      <c r="C505" s="2294"/>
      <c r="D505" s="2294"/>
      <c r="E505" s="1461"/>
      <c r="R505" s="1462"/>
      <c r="S505" s="1462"/>
      <c r="T505" s="1462"/>
      <c r="U505" s="1462"/>
      <c r="V505" s="1462"/>
      <c r="W505" s="1462"/>
      <c r="X505" s="1462"/>
      <c r="Y505" s="1462"/>
    </row>
    <row r="506" spans="1:25" x14ac:dyDescent="0.3">
      <c r="A506" s="2294"/>
      <c r="B506" s="2294"/>
      <c r="C506" s="2294"/>
      <c r="D506" s="2294"/>
      <c r="E506" s="1461"/>
      <c r="R506" s="1462"/>
      <c r="S506" s="1462"/>
      <c r="T506" s="1462"/>
      <c r="U506" s="1462"/>
      <c r="V506" s="1462"/>
      <c r="W506" s="1462"/>
      <c r="X506" s="1462"/>
      <c r="Y506" s="1462"/>
    </row>
    <row r="507" spans="1:25" x14ac:dyDescent="0.3">
      <c r="A507" s="2294"/>
      <c r="B507" s="2294"/>
      <c r="C507" s="2294"/>
      <c r="D507" s="2294"/>
      <c r="E507" s="1461"/>
      <c r="R507" s="1462"/>
      <c r="S507" s="1462"/>
      <c r="T507" s="1462"/>
      <c r="U507" s="1462"/>
      <c r="V507" s="1462"/>
      <c r="W507" s="1462"/>
      <c r="X507" s="1462"/>
      <c r="Y507" s="1462"/>
    </row>
    <row r="508" spans="1:25" x14ac:dyDescent="0.3">
      <c r="A508" s="2294"/>
      <c r="B508" s="2294"/>
      <c r="C508" s="2294"/>
      <c r="D508" s="2294"/>
      <c r="E508" s="1461"/>
      <c r="R508" s="1462"/>
      <c r="S508" s="1462"/>
      <c r="T508" s="1462"/>
      <c r="U508" s="1462"/>
      <c r="V508" s="1462"/>
      <c r="W508" s="1462"/>
      <c r="X508" s="1462"/>
      <c r="Y508" s="1462"/>
    </row>
    <row r="509" spans="1:25" x14ac:dyDescent="0.3">
      <c r="A509" s="2294"/>
      <c r="B509" s="2294"/>
      <c r="C509" s="2294"/>
      <c r="D509" s="2294"/>
      <c r="E509" s="1461"/>
      <c r="R509" s="1462"/>
      <c r="S509" s="1462"/>
      <c r="T509" s="1462"/>
      <c r="U509" s="1462"/>
      <c r="V509" s="1462"/>
      <c r="W509" s="1462"/>
      <c r="X509" s="1462"/>
      <c r="Y509" s="1462"/>
    </row>
    <row r="510" spans="1:25" x14ac:dyDescent="0.3">
      <c r="A510" s="2294"/>
      <c r="B510" s="2294"/>
      <c r="C510" s="2294"/>
      <c r="D510" s="2294"/>
      <c r="E510" s="1461"/>
      <c r="R510" s="1462"/>
      <c r="S510" s="1462"/>
      <c r="T510" s="1462"/>
      <c r="U510" s="1462"/>
      <c r="V510" s="1462"/>
      <c r="W510" s="1462"/>
      <c r="X510" s="1462"/>
      <c r="Y510" s="1462"/>
    </row>
    <row r="511" spans="1:25" x14ac:dyDescent="0.3">
      <c r="A511" s="2294"/>
      <c r="B511" s="2294"/>
      <c r="C511" s="2294"/>
      <c r="D511" s="2294"/>
      <c r="E511" s="1461"/>
      <c r="R511" s="1462"/>
      <c r="S511" s="1462"/>
      <c r="T511" s="1462"/>
      <c r="U511" s="1462"/>
      <c r="V511" s="1462"/>
      <c r="W511" s="1462"/>
      <c r="X511" s="1462"/>
      <c r="Y511" s="1462"/>
    </row>
    <row r="512" spans="1:25" x14ac:dyDescent="0.3">
      <c r="A512" s="2294"/>
      <c r="B512" s="2294"/>
      <c r="C512" s="2294"/>
      <c r="D512" s="2294"/>
      <c r="E512" s="1461"/>
      <c r="R512" s="1462"/>
      <c r="S512" s="1462"/>
      <c r="T512" s="1462"/>
      <c r="U512" s="1462"/>
      <c r="V512" s="1462"/>
      <c r="W512" s="1462"/>
      <c r="X512" s="1462"/>
      <c r="Y512" s="1462"/>
    </row>
    <row r="513" spans="1:25" x14ac:dyDescent="0.3">
      <c r="A513" s="2294"/>
      <c r="B513" s="2294"/>
      <c r="C513" s="2294"/>
      <c r="D513" s="2294"/>
      <c r="E513" s="1461"/>
      <c r="R513" s="1462"/>
      <c r="S513" s="1462"/>
      <c r="T513" s="1462"/>
      <c r="U513" s="1462"/>
      <c r="V513" s="1462"/>
      <c r="W513" s="1462"/>
      <c r="X513" s="1462"/>
      <c r="Y513" s="1462"/>
    </row>
    <row r="514" spans="1:25" x14ac:dyDescent="0.3">
      <c r="A514" s="2294"/>
      <c r="B514" s="2294"/>
      <c r="C514" s="2294"/>
      <c r="D514" s="2294"/>
      <c r="E514" s="1461"/>
      <c r="R514" s="1462"/>
      <c r="S514" s="1462"/>
      <c r="T514" s="1462"/>
      <c r="U514" s="1462"/>
      <c r="V514" s="1462"/>
      <c r="W514" s="1462"/>
      <c r="X514" s="1462"/>
      <c r="Y514" s="1462"/>
    </row>
    <row r="515" spans="1:25" x14ac:dyDescent="0.3">
      <c r="A515" s="2294"/>
      <c r="B515" s="2294"/>
      <c r="C515" s="2294"/>
      <c r="D515" s="2294"/>
      <c r="E515" s="1461"/>
      <c r="R515" s="1462"/>
      <c r="S515" s="1462"/>
      <c r="T515" s="1462"/>
      <c r="U515" s="1462"/>
      <c r="V515" s="1462"/>
      <c r="W515" s="1462"/>
      <c r="X515" s="1462"/>
      <c r="Y515" s="1462"/>
    </row>
    <row r="516" spans="1:25" x14ac:dyDescent="0.3">
      <c r="A516" s="2294"/>
      <c r="B516" s="2294"/>
      <c r="C516" s="2294"/>
      <c r="D516" s="2294"/>
      <c r="E516" s="1461"/>
      <c r="R516" s="1462"/>
      <c r="S516" s="1462"/>
      <c r="T516" s="1462"/>
      <c r="U516" s="1462"/>
      <c r="V516" s="1462"/>
      <c r="W516" s="1462"/>
      <c r="X516" s="1462"/>
      <c r="Y516" s="1462"/>
    </row>
    <row r="517" spans="1:25" x14ac:dyDescent="0.3">
      <c r="A517" s="2294"/>
      <c r="B517" s="2294"/>
      <c r="C517" s="2294"/>
      <c r="D517" s="2294"/>
      <c r="E517" s="1461"/>
      <c r="R517" s="1462"/>
      <c r="S517" s="1462"/>
      <c r="T517" s="1462"/>
      <c r="U517" s="1462"/>
      <c r="V517" s="1462"/>
      <c r="W517" s="1462"/>
      <c r="X517" s="1462"/>
      <c r="Y517" s="1462"/>
    </row>
    <row r="518" spans="1:25" x14ac:dyDescent="0.3">
      <c r="A518" s="2294"/>
      <c r="B518" s="2294"/>
      <c r="C518" s="2294"/>
      <c r="D518" s="2294"/>
      <c r="E518" s="1461"/>
      <c r="R518" s="1462"/>
      <c r="S518" s="1462"/>
      <c r="T518" s="1462"/>
      <c r="U518" s="1462"/>
      <c r="V518" s="1462"/>
      <c r="W518" s="1462"/>
      <c r="X518" s="1462"/>
      <c r="Y518" s="1462"/>
    </row>
    <row r="519" spans="1:25" x14ac:dyDescent="0.3">
      <c r="A519" s="2294"/>
      <c r="B519" s="2294"/>
      <c r="C519" s="2294"/>
      <c r="D519" s="2294"/>
      <c r="E519" s="1461"/>
      <c r="R519" s="1462"/>
      <c r="S519" s="1462"/>
      <c r="T519" s="1462"/>
      <c r="U519" s="1462"/>
      <c r="V519" s="1462"/>
      <c r="W519" s="1462"/>
      <c r="X519" s="1462"/>
      <c r="Y519" s="1462"/>
    </row>
    <row r="520" spans="1:25" x14ac:dyDescent="0.3">
      <c r="A520" s="2294"/>
      <c r="B520" s="2294"/>
      <c r="C520" s="2294"/>
      <c r="D520" s="2294"/>
      <c r="E520" s="1461"/>
      <c r="R520" s="1462"/>
      <c r="S520" s="1462"/>
      <c r="T520" s="1462"/>
      <c r="U520" s="1462"/>
      <c r="V520" s="1462"/>
      <c r="W520" s="1462"/>
      <c r="X520" s="1462"/>
      <c r="Y520" s="1462"/>
    </row>
    <row r="521" spans="1:25" x14ac:dyDescent="0.3">
      <c r="A521" s="2294"/>
      <c r="B521" s="2294"/>
      <c r="C521" s="2294"/>
      <c r="D521" s="2294"/>
      <c r="E521" s="1461"/>
      <c r="R521" s="1462"/>
      <c r="S521" s="1462"/>
      <c r="T521" s="1462"/>
      <c r="U521" s="1462"/>
      <c r="V521" s="1462"/>
      <c r="W521" s="1462"/>
      <c r="X521" s="1462"/>
      <c r="Y521" s="1462"/>
    </row>
    <row r="522" spans="1:25" x14ac:dyDescent="0.3">
      <c r="A522" s="2294"/>
      <c r="B522" s="2294"/>
      <c r="C522" s="2294"/>
      <c r="D522" s="2294"/>
      <c r="E522" s="1461"/>
      <c r="R522" s="1462"/>
      <c r="S522" s="1462"/>
      <c r="T522" s="1462"/>
      <c r="U522" s="1462"/>
      <c r="V522" s="1462"/>
      <c r="W522" s="1462"/>
      <c r="X522" s="1462"/>
      <c r="Y522" s="1462"/>
    </row>
    <row r="523" spans="1:25" x14ac:dyDescent="0.3">
      <c r="A523" s="2294"/>
      <c r="B523" s="2294"/>
      <c r="C523" s="2294"/>
      <c r="D523" s="2294"/>
      <c r="E523" s="1461"/>
      <c r="R523" s="1462"/>
      <c r="S523" s="1462"/>
      <c r="T523" s="1462"/>
      <c r="U523" s="1462"/>
      <c r="V523" s="1462"/>
      <c r="W523" s="1462"/>
      <c r="X523" s="1462"/>
      <c r="Y523" s="1462"/>
    </row>
    <row r="524" spans="1:25" x14ac:dyDescent="0.3">
      <c r="A524" s="2294"/>
      <c r="B524" s="2294"/>
      <c r="C524" s="2294"/>
      <c r="D524" s="2294"/>
      <c r="E524" s="1461"/>
      <c r="R524" s="1462"/>
      <c r="S524" s="1462"/>
      <c r="T524" s="1462"/>
      <c r="U524" s="1462"/>
      <c r="V524" s="1462"/>
      <c r="W524" s="1462"/>
      <c r="X524" s="1462"/>
      <c r="Y524" s="1462"/>
    </row>
    <row r="525" spans="1:25" x14ac:dyDescent="0.3">
      <c r="A525" s="2294"/>
      <c r="B525" s="2294"/>
      <c r="C525" s="2294"/>
      <c r="D525" s="2294"/>
      <c r="E525" s="1461"/>
      <c r="R525" s="1462"/>
      <c r="S525" s="1462"/>
      <c r="T525" s="1462"/>
      <c r="U525" s="1462"/>
      <c r="V525" s="1462"/>
      <c r="W525" s="1462"/>
      <c r="X525" s="1462"/>
      <c r="Y525" s="1462"/>
    </row>
    <row r="526" spans="1:25" x14ac:dyDescent="0.3">
      <c r="A526" s="2294"/>
      <c r="B526" s="2294"/>
      <c r="C526" s="2294"/>
      <c r="D526" s="2294"/>
      <c r="E526" s="1461"/>
      <c r="R526" s="1462"/>
      <c r="S526" s="1462"/>
      <c r="T526" s="1462"/>
      <c r="U526" s="1462"/>
      <c r="V526" s="1462"/>
      <c r="W526" s="1462"/>
      <c r="X526" s="1462"/>
      <c r="Y526" s="1462"/>
    </row>
    <row r="527" spans="1:25" x14ac:dyDescent="0.3">
      <c r="A527" s="2294"/>
      <c r="B527" s="2294"/>
      <c r="C527" s="2294"/>
      <c r="D527" s="2294"/>
      <c r="E527" s="1461"/>
      <c r="R527" s="1462"/>
      <c r="S527" s="1462"/>
      <c r="T527" s="1462"/>
      <c r="U527" s="1462"/>
      <c r="V527" s="1462"/>
      <c r="W527" s="1462"/>
      <c r="X527" s="1462"/>
      <c r="Y527" s="1462"/>
    </row>
    <row r="528" spans="1:25" x14ac:dyDescent="0.3">
      <c r="A528" s="2294"/>
      <c r="B528" s="2294"/>
      <c r="C528" s="2294"/>
      <c r="D528" s="2294"/>
      <c r="E528" s="1461"/>
      <c r="R528" s="1462"/>
      <c r="S528" s="1462"/>
      <c r="T528" s="1462"/>
      <c r="U528" s="1462"/>
      <c r="V528" s="1462"/>
      <c r="W528" s="1462"/>
      <c r="X528" s="1462"/>
      <c r="Y528" s="1462"/>
    </row>
    <row r="529" spans="1:25" x14ac:dyDescent="0.3">
      <c r="A529" s="2294"/>
      <c r="B529" s="2294"/>
      <c r="C529" s="2294"/>
      <c r="D529" s="2294"/>
      <c r="E529" s="1461"/>
      <c r="R529" s="1462"/>
      <c r="S529" s="1462"/>
      <c r="T529" s="1462"/>
      <c r="U529" s="1462"/>
      <c r="V529" s="1462"/>
      <c r="W529" s="1462"/>
      <c r="X529" s="1462"/>
      <c r="Y529" s="1462"/>
    </row>
    <row r="530" spans="1:25" x14ac:dyDescent="0.3">
      <c r="A530" s="2294"/>
      <c r="B530" s="2294"/>
      <c r="C530" s="2294"/>
      <c r="D530" s="2294"/>
      <c r="E530" s="1461"/>
      <c r="R530" s="1462"/>
      <c r="S530" s="1462"/>
      <c r="T530" s="1462"/>
      <c r="U530" s="1462"/>
      <c r="V530" s="1462"/>
      <c r="W530" s="1462"/>
      <c r="X530" s="1462"/>
      <c r="Y530" s="1462"/>
    </row>
    <row r="531" spans="1:25" x14ac:dyDescent="0.3">
      <c r="A531" s="2294"/>
      <c r="B531" s="2294"/>
      <c r="C531" s="2294"/>
      <c r="D531" s="2294"/>
      <c r="E531" s="1461"/>
      <c r="R531" s="1462"/>
      <c r="S531" s="1462"/>
      <c r="T531" s="1462"/>
      <c r="U531" s="1462"/>
      <c r="V531" s="1462"/>
      <c r="W531" s="1462"/>
      <c r="X531" s="1462"/>
      <c r="Y531" s="1462"/>
    </row>
    <row r="532" spans="1:25" x14ac:dyDescent="0.3">
      <c r="A532" s="2294"/>
      <c r="B532" s="2294"/>
      <c r="C532" s="2294"/>
      <c r="D532" s="2294"/>
      <c r="E532" s="1461"/>
      <c r="R532" s="1462"/>
      <c r="S532" s="1462"/>
      <c r="T532" s="1462"/>
      <c r="U532" s="1462"/>
      <c r="V532" s="1462"/>
      <c r="W532" s="1462"/>
      <c r="X532" s="1462"/>
      <c r="Y532" s="1462"/>
    </row>
    <row r="533" spans="1:25" x14ac:dyDescent="0.3">
      <c r="A533" s="2294"/>
      <c r="B533" s="2294"/>
      <c r="C533" s="2294"/>
      <c r="D533" s="2294"/>
      <c r="E533" s="1461"/>
      <c r="R533" s="1462"/>
      <c r="S533" s="1462"/>
      <c r="T533" s="1462"/>
      <c r="U533" s="1462"/>
      <c r="V533" s="1462"/>
      <c r="W533" s="1462"/>
      <c r="X533" s="1462"/>
      <c r="Y533" s="1462"/>
    </row>
    <row r="534" spans="1:25" x14ac:dyDescent="0.3">
      <c r="A534" s="2294"/>
      <c r="B534" s="2294"/>
      <c r="C534" s="2294"/>
      <c r="D534" s="2294"/>
      <c r="E534" s="1461"/>
      <c r="R534" s="1462"/>
      <c r="S534" s="1462"/>
      <c r="T534" s="1462"/>
      <c r="U534" s="1462"/>
      <c r="V534" s="1462"/>
      <c r="W534" s="1462"/>
      <c r="X534" s="1462"/>
      <c r="Y534" s="1462"/>
    </row>
    <row r="535" spans="1:25" x14ac:dyDescent="0.3">
      <c r="A535" s="2294"/>
      <c r="B535" s="2294"/>
      <c r="C535" s="2294"/>
      <c r="D535" s="2294"/>
      <c r="E535" s="1461"/>
      <c r="R535" s="1462"/>
      <c r="S535" s="1462"/>
      <c r="T535" s="1462"/>
      <c r="U535" s="1462"/>
      <c r="V535" s="1462"/>
      <c r="W535" s="1462"/>
      <c r="X535" s="1462"/>
      <c r="Y535" s="1462"/>
    </row>
    <row r="536" spans="1:25" x14ac:dyDescent="0.3">
      <c r="A536" s="2294"/>
      <c r="B536" s="2294"/>
      <c r="C536" s="2294"/>
      <c r="D536" s="2294"/>
      <c r="E536" s="1461"/>
      <c r="R536" s="1462"/>
      <c r="S536" s="1462"/>
      <c r="T536" s="1462"/>
      <c r="U536" s="1462"/>
      <c r="V536" s="1462"/>
      <c r="W536" s="1462"/>
      <c r="X536" s="1462"/>
      <c r="Y536" s="1462"/>
    </row>
    <row r="537" spans="1:25" x14ac:dyDescent="0.3">
      <c r="A537" s="2294"/>
      <c r="B537" s="2294"/>
      <c r="C537" s="2294"/>
      <c r="D537" s="2294"/>
      <c r="E537" s="1461"/>
      <c r="R537" s="1462"/>
      <c r="S537" s="1462"/>
      <c r="T537" s="1462"/>
      <c r="U537" s="1462"/>
      <c r="V537" s="1462"/>
      <c r="W537" s="1462"/>
      <c r="X537" s="1462"/>
      <c r="Y537" s="1462"/>
    </row>
    <row r="538" spans="1:25" x14ac:dyDescent="0.3">
      <c r="A538" s="2294"/>
      <c r="B538" s="2294"/>
      <c r="C538" s="2294"/>
      <c r="D538" s="2294"/>
      <c r="E538" s="1461"/>
      <c r="R538" s="1462"/>
      <c r="S538" s="1462"/>
      <c r="T538" s="1462"/>
      <c r="U538" s="1462"/>
      <c r="V538" s="1462"/>
      <c r="W538" s="1462"/>
      <c r="X538" s="1462"/>
      <c r="Y538" s="1462"/>
    </row>
    <row r="539" spans="1:25" x14ac:dyDescent="0.3">
      <c r="A539" s="2294"/>
      <c r="B539" s="2294"/>
      <c r="C539" s="2294"/>
      <c r="D539" s="2294"/>
      <c r="E539" s="1461"/>
      <c r="R539" s="1462"/>
      <c r="S539" s="1462"/>
      <c r="T539" s="1462"/>
      <c r="U539" s="1462"/>
      <c r="V539" s="1462"/>
      <c r="W539" s="1462"/>
      <c r="X539" s="1462"/>
      <c r="Y539" s="1462"/>
    </row>
    <row r="540" spans="1:25" x14ac:dyDescent="0.3">
      <c r="A540" s="2294"/>
      <c r="B540" s="2294"/>
      <c r="C540" s="2294"/>
      <c r="D540" s="2294"/>
      <c r="E540" s="1461"/>
      <c r="R540" s="1462"/>
      <c r="S540" s="1462"/>
      <c r="T540" s="1462"/>
      <c r="U540" s="1462"/>
      <c r="V540" s="1462"/>
      <c r="W540" s="1462"/>
      <c r="X540" s="1462"/>
      <c r="Y540" s="1462"/>
    </row>
    <row r="541" spans="1:25" x14ac:dyDescent="0.3">
      <c r="A541" s="2294"/>
      <c r="B541" s="2294"/>
      <c r="C541" s="2294"/>
      <c r="D541" s="2294"/>
      <c r="E541" s="1461"/>
      <c r="R541" s="1462"/>
      <c r="S541" s="1462"/>
      <c r="T541" s="1462"/>
      <c r="U541" s="1462"/>
      <c r="V541" s="1462"/>
      <c r="W541" s="1462"/>
      <c r="X541" s="1462"/>
      <c r="Y541" s="1462"/>
    </row>
    <row r="542" spans="1:25" x14ac:dyDescent="0.3">
      <c r="A542" s="2294"/>
      <c r="B542" s="2294"/>
      <c r="C542" s="2294"/>
      <c r="D542" s="2294"/>
      <c r="E542" s="1461"/>
      <c r="R542" s="1462"/>
      <c r="S542" s="1462"/>
      <c r="T542" s="1462"/>
      <c r="U542" s="1462"/>
      <c r="V542" s="1462"/>
      <c r="W542" s="1462"/>
      <c r="X542" s="1462"/>
      <c r="Y542" s="1462"/>
    </row>
    <row r="543" spans="1:25" x14ac:dyDescent="0.3">
      <c r="A543" s="2294"/>
      <c r="B543" s="2294"/>
      <c r="C543" s="2294"/>
      <c r="D543" s="2294"/>
      <c r="E543" s="1461"/>
      <c r="R543" s="1462"/>
      <c r="S543" s="1462"/>
      <c r="T543" s="1462"/>
      <c r="U543" s="1462"/>
      <c r="V543" s="1462"/>
      <c r="W543" s="1462"/>
      <c r="X543" s="1462"/>
      <c r="Y543" s="1462"/>
    </row>
    <row r="544" spans="1:25" x14ac:dyDescent="0.3">
      <c r="A544" s="2294"/>
      <c r="B544" s="2294"/>
      <c r="C544" s="2294"/>
      <c r="D544" s="2294"/>
      <c r="E544" s="1461"/>
      <c r="R544" s="1462"/>
      <c r="S544" s="1462"/>
      <c r="T544" s="1462"/>
      <c r="U544" s="1462"/>
      <c r="V544" s="1462"/>
      <c r="W544" s="1462"/>
      <c r="X544" s="1462"/>
      <c r="Y544" s="1462"/>
    </row>
    <row r="545" spans="1:25" x14ac:dyDescent="0.3">
      <c r="A545" s="2294"/>
      <c r="B545" s="2294"/>
      <c r="C545" s="2294"/>
      <c r="D545" s="2294"/>
      <c r="E545" s="1461"/>
      <c r="R545" s="1462"/>
      <c r="S545" s="1462"/>
      <c r="T545" s="1462"/>
      <c r="U545" s="1462"/>
      <c r="V545" s="1462"/>
      <c r="W545" s="1462"/>
      <c r="X545" s="1462"/>
      <c r="Y545" s="1462"/>
    </row>
    <row r="546" spans="1:25" x14ac:dyDescent="0.3">
      <c r="A546" s="2294"/>
      <c r="B546" s="2294"/>
      <c r="C546" s="2294"/>
      <c r="D546" s="2294"/>
      <c r="E546" s="1461"/>
      <c r="R546" s="1462"/>
      <c r="S546" s="1462"/>
      <c r="T546" s="1462"/>
      <c r="U546" s="1462"/>
      <c r="V546" s="1462"/>
      <c r="W546" s="1462"/>
      <c r="X546" s="1462"/>
      <c r="Y546" s="1462"/>
    </row>
    <row r="547" spans="1:25" x14ac:dyDescent="0.3">
      <c r="A547" s="2294"/>
      <c r="B547" s="2294"/>
      <c r="C547" s="2294"/>
      <c r="D547" s="2294"/>
      <c r="E547" s="1461"/>
      <c r="R547" s="1462"/>
      <c r="S547" s="1462"/>
      <c r="T547" s="1462"/>
      <c r="U547" s="1462"/>
      <c r="V547" s="1462"/>
      <c r="W547" s="1462"/>
      <c r="X547" s="1462"/>
      <c r="Y547" s="1462"/>
    </row>
    <row r="548" spans="1:25" x14ac:dyDescent="0.3">
      <c r="A548" s="2294"/>
      <c r="B548" s="2294"/>
      <c r="C548" s="2294"/>
      <c r="D548" s="2294"/>
      <c r="E548" s="1461"/>
      <c r="R548" s="1462"/>
      <c r="S548" s="1462"/>
      <c r="T548" s="1462"/>
      <c r="U548" s="1462"/>
      <c r="V548" s="1462"/>
      <c r="W548" s="1462"/>
      <c r="X548" s="1462"/>
      <c r="Y548" s="1462"/>
    </row>
    <row r="549" spans="1:25" x14ac:dyDescent="0.3">
      <c r="A549" s="2294"/>
      <c r="B549" s="2294"/>
      <c r="C549" s="2294"/>
      <c r="D549" s="2294"/>
      <c r="E549" s="1461"/>
      <c r="R549" s="1462"/>
      <c r="S549" s="1462"/>
      <c r="T549" s="1462"/>
      <c r="U549" s="1462"/>
      <c r="V549" s="1462"/>
      <c r="W549" s="1462"/>
      <c r="X549" s="1462"/>
      <c r="Y549" s="1462"/>
    </row>
    <row r="550" spans="1:25" x14ac:dyDescent="0.3">
      <c r="A550" s="2294"/>
      <c r="B550" s="2294"/>
      <c r="C550" s="2294"/>
      <c r="D550" s="2294"/>
      <c r="E550" s="1461"/>
      <c r="R550" s="1462"/>
      <c r="S550" s="1462"/>
      <c r="T550" s="1462"/>
      <c r="U550" s="1462"/>
      <c r="V550" s="1462"/>
      <c r="W550" s="1462"/>
      <c r="X550" s="1462"/>
      <c r="Y550" s="1462"/>
    </row>
    <row r="551" spans="1:25" x14ac:dyDescent="0.3">
      <c r="A551" s="2294"/>
      <c r="B551" s="2294"/>
      <c r="C551" s="2294"/>
      <c r="D551" s="2294"/>
      <c r="E551" s="1461"/>
      <c r="R551" s="1462"/>
      <c r="S551" s="1462"/>
      <c r="T551" s="1462"/>
      <c r="U551" s="1462"/>
      <c r="V551" s="1462"/>
      <c r="W551" s="1462"/>
      <c r="X551" s="1462"/>
      <c r="Y551" s="1462"/>
    </row>
    <row r="552" spans="1:25" x14ac:dyDescent="0.3">
      <c r="A552" s="2294"/>
      <c r="B552" s="2294"/>
      <c r="C552" s="2294"/>
      <c r="D552" s="2294"/>
      <c r="E552" s="1461"/>
      <c r="R552" s="1462"/>
      <c r="S552" s="1462"/>
      <c r="T552" s="1462"/>
      <c r="U552" s="1462"/>
      <c r="V552" s="1462"/>
      <c r="W552" s="1462"/>
      <c r="X552" s="1462"/>
      <c r="Y552" s="1462"/>
    </row>
    <row r="553" spans="1:25" x14ac:dyDescent="0.3">
      <c r="A553" s="2294"/>
      <c r="B553" s="2294"/>
      <c r="C553" s="2294"/>
      <c r="D553" s="2294"/>
      <c r="E553" s="1461"/>
      <c r="R553" s="1462"/>
      <c r="S553" s="1462"/>
      <c r="T553" s="1462"/>
      <c r="U553" s="1462"/>
      <c r="V553" s="1462"/>
      <c r="W553" s="1462"/>
      <c r="X553" s="1462"/>
      <c r="Y553" s="1462"/>
    </row>
    <row r="554" spans="1:25" x14ac:dyDescent="0.3">
      <c r="A554" s="2294"/>
      <c r="B554" s="2294"/>
      <c r="C554" s="2294"/>
      <c r="D554" s="2294"/>
      <c r="E554" s="1461"/>
      <c r="R554" s="1462"/>
      <c r="S554" s="1462"/>
      <c r="T554" s="1462"/>
      <c r="U554" s="1462"/>
      <c r="V554" s="1462"/>
      <c r="W554" s="1462"/>
      <c r="X554" s="1462"/>
      <c r="Y554" s="1462"/>
    </row>
    <row r="555" spans="1:25" x14ac:dyDescent="0.3">
      <c r="A555" s="2294"/>
      <c r="B555" s="2294"/>
      <c r="C555" s="2294"/>
      <c r="D555" s="2294"/>
      <c r="E555" s="1461"/>
      <c r="R555" s="1462"/>
      <c r="S555" s="1462"/>
      <c r="T555" s="1462"/>
      <c r="U555" s="1462"/>
      <c r="V555" s="1462"/>
      <c r="W555" s="1462"/>
      <c r="X555" s="1462"/>
      <c r="Y555" s="1462"/>
    </row>
    <row r="556" spans="1:25" x14ac:dyDescent="0.3">
      <c r="A556" s="2294"/>
      <c r="B556" s="2294"/>
      <c r="C556" s="2294"/>
      <c r="D556" s="2294"/>
      <c r="E556" s="1461"/>
      <c r="R556" s="1462"/>
      <c r="S556" s="1462"/>
      <c r="T556" s="1462"/>
      <c r="U556" s="1462"/>
      <c r="V556" s="1462"/>
      <c r="W556" s="1462"/>
      <c r="X556" s="1462"/>
      <c r="Y556" s="1462"/>
    </row>
    <row r="557" spans="1:25" x14ac:dyDescent="0.3">
      <c r="A557" s="2294"/>
      <c r="B557" s="2294"/>
      <c r="C557" s="2294"/>
      <c r="D557" s="2294"/>
      <c r="E557" s="1461"/>
      <c r="R557" s="1462"/>
      <c r="S557" s="1462"/>
      <c r="T557" s="1462"/>
      <c r="U557" s="1462"/>
      <c r="V557" s="1462"/>
      <c r="W557" s="1462"/>
      <c r="X557" s="1462"/>
      <c r="Y557" s="1462"/>
    </row>
    <row r="558" spans="1:25" x14ac:dyDescent="0.3">
      <c r="A558" s="2294"/>
      <c r="B558" s="2294"/>
      <c r="C558" s="2294"/>
      <c r="D558" s="2294"/>
      <c r="E558" s="1461"/>
      <c r="R558" s="1462"/>
      <c r="S558" s="1462"/>
      <c r="T558" s="1462"/>
      <c r="U558" s="1462"/>
      <c r="V558" s="1462"/>
      <c r="W558" s="1462"/>
      <c r="X558" s="1462"/>
      <c r="Y558" s="1462"/>
    </row>
    <row r="559" spans="1:25" x14ac:dyDescent="0.3">
      <c r="A559" s="2294"/>
      <c r="B559" s="2294"/>
      <c r="C559" s="2294"/>
      <c r="D559" s="2294"/>
      <c r="E559" s="1461"/>
      <c r="R559" s="1462"/>
      <c r="S559" s="1462"/>
      <c r="T559" s="1462"/>
      <c r="U559" s="1462"/>
      <c r="V559" s="1462"/>
      <c r="W559" s="1462"/>
      <c r="X559" s="1462"/>
      <c r="Y559" s="1462"/>
    </row>
    <row r="560" spans="1:25" x14ac:dyDescent="0.3">
      <c r="A560" s="2294"/>
      <c r="B560" s="2294"/>
      <c r="C560" s="2294"/>
      <c r="D560" s="2294"/>
      <c r="E560" s="1461"/>
      <c r="R560" s="1462"/>
      <c r="S560" s="1462"/>
      <c r="T560" s="1462"/>
      <c r="U560" s="1462"/>
      <c r="V560" s="1462"/>
      <c r="W560" s="1462"/>
      <c r="X560" s="1462"/>
      <c r="Y560" s="1462"/>
    </row>
    <row r="561" spans="1:25" x14ac:dyDescent="0.3">
      <c r="A561" s="2294"/>
      <c r="B561" s="2294"/>
      <c r="C561" s="2294"/>
      <c r="D561" s="2294"/>
      <c r="E561" s="1461"/>
      <c r="R561" s="1462"/>
      <c r="S561" s="1462"/>
      <c r="T561" s="1462"/>
      <c r="U561" s="1462"/>
      <c r="V561" s="1462"/>
      <c r="W561" s="1462"/>
      <c r="X561" s="1462"/>
      <c r="Y561" s="1462"/>
    </row>
    <row r="562" spans="1:25" x14ac:dyDescent="0.3">
      <c r="A562" s="2294"/>
      <c r="B562" s="2294"/>
      <c r="C562" s="2294"/>
      <c r="D562" s="2294"/>
      <c r="E562" s="1461"/>
      <c r="R562" s="1462"/>
      <c r="S562" s="1462"/>
      <c r="T562" s="1462"/>
      <c r="U562" s="1462"/>
      <c r="V562" s="1462"/>
      <c r="W562" s="1462"/>
      <c r="X562" s="1462"/>
      <c r="Y562" s="1462"/>
    </row>
    <row r="563" spans="1:25" x14ac:dyDescent="0.3">
      <c r="A563" s="2294"/>
      <c r="B563" s="2294"/>
      <c r="C563" s="2294"/>
      <c r="D563" s="2294"/>
      <c r="E563" s="1461"/>
      <c r="R563" s="1462"/>
      <c r="S563" s="1462"/>
      <c r="T563" s="1462"/>
      <c r="U563" s="1462"/>
      <c r="V563" s="1462"/>
      <c r="W563" s="1462"/>
      <c r="X563" s="1462"/>
      <c r="Y563" s="1462"/>
    </row>
    <row r="564" spans="1:25" x14ac:dyDescent="0.3">
      <c r="A564" s="2294"/>
      <c r="B564" s="2294"/>
      <c r="C564" s="2294"/>
      <c r="D564" s="2294"/>
      <c r="E564" s="1461"/>
      <c r="R564" s="1462"/>
      <c r="S564" s="1462"/>
      <c r="T564" s="1462"/>
      <c r="U564" s="1462"/>
      <c r="V564" s="1462"/>
      <c r="W564" s="1462"/>
      <c r="X564" s="1462"/>
      <c r="Y564" s="1462"/>
    </row>
    <row r="565" spans="1:25" x14ac:dyDescent="0.3">
      <c r="A565" s="2294"/>
      <c r="B565" s="2294"/>
      <c r="C565" s="2294"/>
      <c r="D565" s="2294"/>
      <c r="E565" s="1461"/>
      <c r="R565" s="1462"/>
      <c r="S565" s="1462"/>
      <c r="T565" s="1462"/>
      <c r="U565" s="1462"/>
      <c r="V565" s="1462"/>
      <c r="W565" s="1462"/>
      <c r="X565" s="1462"/>
      <c r="Y565" s="1462"/>
    </row>
    <row r="566" spans="1:25" x14ac:dyDescent="0.3">
      <c r="A566" s="2294"/>
      <c r="B566" s="2294"/>
      <c r="C566" s="2294"/>
      <c r="D566" s="2294"/>
      <c r="E566" s="1461"/>
      <c r="R566" s="1462"/>
      <c r="S566" s="1462"/>
      <c r="T566" s="1462"/>
      <c r="U566" s="1462"/>
      <c r="V566" s="1462"/>
      <c r="W566" s="1462"/>
      <c r="X566" s="1462"/>
      <c r="Y566" s="1462"/>
    </row>
    <row r="567" spans="1:25" x14ac:dyDescent="0.3">
      <c r="A567" s="2294"/>
      <c r="B567" s="2294"/>
      <c r="C567" s="2294"/>
      <c r="D567" s="2294"/>
      <c r="E567" s="1461"/>
      <c r="R567" s="1462"/>
      <c r="S567" s="1462"/>
      <c r="T567" s="1462"/>
      <c r="U567" s="1462"/>
      <c r="V567" s="1462"/>
      <c r="W567" s="1462"/>
      <c r="X567" s="1462"/>
      <c r="Y567" s="1462"/>
    </row>
    <row r="568" spans="1:25" x14ac:dyDescent="0.3">
      <c r="A568" s="2294"/>
      <c r="B568" s="2294"/>
      <c r="C568" s="2294"/>
      <c r="D568" s="2294"/>
      <c r="E568" s="1461"/>
      <c r="R568" s="1462"/>
      <c r="S568" s="1462"/>
      <c r="T568" s="1462"/>
      <c r="U568" s="1462"/>
      <c r="V568" s="1462"/>
      <c r="W568" s="1462"/>
      <c r="X568" s="1462"/>
      <c r="Y568" s="1462"/>
    </row>
    <row r="569" spans="1:25" x14ac:dyDescent="0.3">
      <c r="A569" s="2294"/>
      <c r="B569" s="2294"/>
      <c r="C569" s="2294"/>
      <c r="D569" s="2294"/>
      <c r="E569" s="1461"/>
      <c r="R569" s="1462"/>
      <c r="S569" s="1462"/>
      <c r="T569" s="1462"/>
      <c r="U569" s="1462"/>
      <c r="V569" s="1462"/>
      <c r="W569" s="1462"/>
      <c r="X569" s="1462"/>
      <c r="Y569" s="1462"/>
    </row>
    <row r="570" spans="1:25" x14ac:dyDescent="0.3">
      <c r="A570" s="2294"/>
      <c r="B570" s="2294"/>
      <c r="C570" s="2294"/>
      <c r="D570" s="2294"/>
      <c r="E570" s="1461"/>
      <c r="R570" s="1462"/>
      <c r="S570" s="1462"/>
      <c r="T570" s="1462"/>
      <c r="U570" s="1462"/>
      <c r="V570" s="1462"/>
      <c r="W570" s="1462"/>
      <c r="X570" s="1462"/>
      <c r="Y570" s="1462"/>
    </row>
    <row r="571" spans="1:25" x14ac:dyDescent="0.3">
      <c r="A571" s="2294"/>
      <c r="B571" s="2294"/>
      <c r="C571" s="2294"/>
      <c r="D571" s="2294"/>
      <c r="E571" s="1461"/>
      <c r="R571" s="1462"/>
      <c r="S571" s="1462"/>
      <c r="T571" s="1462"/>
      <c r="U571" s="1462"/>
      <c r="V571" s="1462"/>
      <c r="W571" s="1462"/>
      <c r="X571" s="1462"/>
      <c r="Y571" s="1462"/>
    </row>
    <row r="572" spans="1:25" x14ac:dyDescent="0.3">
      <c r="A572" s="2294"/>
      <c r="B572" s="2294"/>
      <c r="C572" s="2294"/>
      <c r="D572" s="2294"/>
      <c r="E572" s="1461"/>
      <c r="R572" s="1462"/>
      <c r="S572" s="1462"/>
      <c r="T572" s="1462"/>
      <c r="U572" s="1462"/>
      <c r="V572" s="1462"/>
      <c r="W572" s="1462"/>
      <c r="X572" s="1462"/>
      <c r="Y572" s="1462"/>
    </row>
    <row r="573" spans="1:25" x14ac:dyDescent="0.3">
      <c r="A573" s="2294"/>
      <c r="B573" s="2294"/>
      <c r="C573" s="2294"/>
      <c r="D573" s="2294"/>
      <c r="E573" s="1461"/>
      <c r="R573" s="1462"/>
      <c r="S573" s="1462"/>
      <c r="T573" s="1462"/>
      <c r="U573" s="1462"/>
      <c r="V573" s="1462"/>
      <c r="W573" s="1462"/>
      <c r="X573" s="1462"/>
      <c r="Y573" s="1462"/>
    </row>
    <row r="574" spans="1:25" x14ac:dyDescent="0.3">
      <c r="A574" s="2294"/>
      <c r="B574" s="2294"/>
      <c r="C574" s="2294"/>
      <c r="D574" s="2294"/>
      <c r="E574" s="1461"/>
      <c r="R574" s="1462"/>
      <c r="S574" s="1462"/>
      <c r="T574" s="1462"/>
      <c r="U574" s="1462"/>
      <c r="V574" s="1462"/>
      <c r="W574" s="1462"/>
      <c r="X574" s="1462"/>
      <c r="Y574" s="1462"/>
    </row>
    <row r="575" spans="1:25" x14ac:dyDescent="0.3">
      <c r="A575" s="2294"/>
      <c r="B575" s="2294"/>
      <c r="C575" s="2294"/>
      <c r="D575" s="2294"/>
      <c r="E575" s="1461"/>
      <c r="R575" s="1462"/>
      <c r="S575" s="1462"/>
      <c r="T575" s="1462"/>
      <c r="U575" s="1462"/>
      <c r="V575" s="1462"/>
      <c r="W575" s="1462"/>
      <c r="X575" s="1462"/>
      <c r="Y575" s="1462"/>
    </row>
    <row r="576" spans="1:25" x14ac:dyDescent="0.3">
      <c r="A576" s="2294"/>
      <c r="B576" s="2294"/>
      <c r="C576" s="2294"/>
      <c r="D576" s="2294"/>
      <c r="E576" s="1461"/>
      <c r="R576" s="1462"/>
      <c r="S576" s="1462"/>
      <c r="T576" s="1462"/>
      <c r="U576" s="1462"/>
      <c r="V576" s="1462"/>
      <c r="W576" s="1462"/>
      <c r="X576" s="1462"/>
      <c r="Y576" s="1462"/>
    </row>
    <row r="577" spans="1:25" x14ac:dyDescent="0.3">
      <c r="A577" s="2294"/>
      <c r="B577" s="2294"/>
      <c r="C577" s="2294"/>
      <c r="D577" s="2294"/>
      <c r="E577" s="1461"/>
      <c r="R577" s="1462"/>
      <c r="S577" s="1462"/>
      <c r="T577" s="1462"/>
      <c r="U577" s="1462"/>
      <c r="V577" s="1462"/>
      <c r="W577" s="1462"/>
      <c r="X577" s="1462"/>
      <c r="Y577" s="1462"/>
    </row>
    <row r="578" spans="1:25" x14ac:dyDescent="0.3">
      <c r="A578" s="2294"/>
      <c r="B578" s="2294"/>
      <c r="C578" s="2294"/>
      <c r="D578" s="2294"/>
      <c r="E578" s="1461"/>
      <c r="R578" s="1462"/>
      <c r="S578" s="1462"/>
      <c r="T578" s="1462"/>
      <c r="U578" s="1462"/>
      <c r="V578" s="1462"/>
      <c r="W578" s="1462"/>
      <c r="X578" s="1462"/>
      <c r="Y578" s="1462"/>
    </row>
    <row r="579" spans="1:25" x14ac:dyDescent="0.3">
      <c r="A579" s="2294"/>
      <c r="B579" s="2294"/>
      <c r="C579" s="2294"/>
      <c r="D579" s="2294"/>
      <c r="E579" s="1461"/>
      <c r="R579" s="1462"/>
      <c r="S579" s="1462"/>
      <c r="T579" s="1462"/>
      <c r="U579" s="1462"/>
      <c r="V579" s="1462"/>
      <c r="W579" s="1462"/>
      <c r="X579" s="1462"/>
      <c r="Y579" s="1462"/>
    </row>
    <row r="580" spans="1:25" x14ac:dyDescent="0.3">
      <c r="A580" s="2294"/>
      <c r="B580" s="2294"/>
      <c r="C580" s="2294"/>
      <c r="D580" s="2294"/>
      <c r="E580" s="1461"/>
      <c r="R580" s="1462"/>
      <c r="S580" s="1462"/>
      <c r="T580" s="1462"/>
      <c r="U580" s="1462"/>
      <c r="V580" s="1462"/>
      <c r="W580" s="1462"/>
      <c r="X580" s="1462"/>
      <c r="Y580" s="1462"/>
    </row>
    <row r="581" spans="1:25" x14ac:dyDescent="0.3">
      <c r="A581" s="2294"/>
      <c r="B581" s="2294"/>
      <c r="C581" s="2294"/>
      <c r="D581" s="2294"/>
      <c r="E581" s="1461"/>
      <c r="R581" s="1462"/>
      <c r="S581" s="1462"/>
      <c r="T581" s="1462"/>
      <c r="U581" s="1462"/>
      <c r="V581" s="1462"/>
      <c r="W581" s="1462"/>
      <c r="X581" s="1462"/>
      <c r="Y581" s="1462"/>
    </row>
    <row r="582" spans="1:25" x14ac:dyDescent="0.3">
      <c r="A582" s="2294"/>
      <c r="B582" s="2294"/>
      <c r="C582" s="2294"/>
      <c r="D582" s="2294"/>
      <c r="E582" s="1461"/>
      <c r="R582" s="1462"/>
      <c r="S582" s="1462"/>
      <c r="T582" s="1462"/>
      <c r="U582" s="1462"/>
      <c r="V582" s="1462"/>
      <c r="W582" s="1462"/>
      <c r="X582" s="1462"/>
      <c r="Y582" s="1462"/>
    </row>
    <row r="583" spans="1:25" x14ac:dyDescent="0.3">
      <c r="A583" s="2294"/>
      <c r="B583" s="2294"/>
      <c r="C583" s="2294"/>
      <c r="D583" s="2294"/>
      <c r="E583" s="1461"/>
      <c r="R583" s="1462"/>
      <c r="S583" s="1462"/>
      <c r="T583" s="1462"/>
      <c r="U583" s="1462"/>
      <c r="V583" s="1462"/>
      <c r="W583" s="1462"/>
      <c r="X583" s="1462"/>
      <c r="Y583" s="1462"/>
    </row>
    <row r="584" spans="1:25" x14ac:dyDescent="0.3">
      <c r="A584" s="2294"/>
      <c r="B584" s="2294"/>
      <c r="C584" s="2294"/>
      <c r="D584" s="2294"/>
      <c r="E584" s="1461"/>
      <c r="R584" s="1462"/>
      <c r="S584" s="1462"/>
      <c r="T584" s="1462"/>
      <c r="U584" s="1462"/>
      <c r="V584" s="1462"/>
      <c r="W584" s="1462"/>
      <c r="X584" s="1462"/>
      <c r="Y584" s="1462"/>
    </row>
    <row r="585" spans="1:25" x14ac:dyDescent="0.3">
      <c r="A585" s="2294"/>
      <c r="B585" s="2294"/>
      <c r="C585" s="2294"/>
      <c r="D585" s="2294"/>
      <c r="E585" s="1461"/>
      <c r="R585" s="1462"/>
      <c r="S585" s="1462"/>
      <c r="T585" s="1462"/>
      <c r="U585" s="1462"/>
      <c r="V585" s="1462"/>
      <c r="W585" s="1462"/>
      <c r="X585" s="1462"/>
      <c r="Y585" s="1462"/>
    </row>
    <row r="586" spans="1:25" x14ac:dyDescent="0.3">
      <c r="A586" s="2294"/>
      <c r="B586" s="2294"/>
      <c r="C586" s="2294"/>
      <c r="D586" s="2294"/>
      <c r="E586" s="1461"/>
      <c r="R586" s="1462"/>
      <c r="S586" s="1462"/>
      <c r="T586" s="1462"/>
      <c r="U586" s="1462"/>
      <c r="V586" s="1462"/>
      <c r="W586" s="1462"/>
      <c r="X586" s="1462"/>
      <c r="Y586" s="1462"/>
    </row>
    <row r="587" spans="1:25" x14ac:dyDescent="0.3">
      <c r="A587" s="2294"/>
      <c r="B587" s="2294"/>
      <c r="C587" s="2294"/>
      <c r="D587" s="2294"/>
      <c r="E587" s="1461"/>
      <c r="R587" s="1462"/>
      <c r="S587" s="1462"/>
      <c r="T587" s="1462"/>
      <c r="U587" s="1462"/>
      <c r="V587" s="1462"/>
      <c r="W587" s="1462"/>
      <c r="X587" s="1462"/>
      <c r="Y587" s="1462"/>
    </row>
    <row r="588" spans="1:25" x14ac:dyDescent="0.3">
      <c r="A588" s="2294"/>
      <c r="B588" s="2294"/>
      <c r="C588" s="2294"/>
      <c r="D588" s="2294"/>
      <c r="E588" s="1461"/>
      <c r="R588" s="1462"/>
      <c r="S588" s="1462"/>
      <c r="T588" s="1462"/>
      <c r="U588" s="1462"/>
      <c r="V588" s="1462"/>
      <c r="W588" s="1462"/>
      <c r="X588" s="1462"/>
      <c r="Y588" s="1462"/>
    </row>
    <row r="589" spans="1:25" x14ac:dyDescent="0.3">
      <c r="A589" s="2294"/>
      <c r="B589" s="2294"/>
      <c r="C589" s="2294"/>
      <c r="D589" s="2294"/>
      <c r="E589" s="1461"/>
      <c r="R589" s="1462"/>
      <c r="S589" s="1462"/>
      <c r="T589" s="1462"/>
      <c r="U589" s="1462"/>
      <c r="V589" s="1462"/>
      <c r="W589" s="1462"/>
      <c r="X589" s="1462"/>
      <c r="Y589" s="1462"/>
    </row>
    <row r="590" spans="1:25" x14ac:dyDescent="0.3">
      <c r="A590" s="2294"/>
      <c r="B590" s="2294"/>
      <c r="C590" s="2294"/>
      <c r="D590" s="2294"/>
      <c r="E590" s="1461"/>
      <c r="R590" s="1462"/>
      <c r="S590" s="1462"/>
      <c r="T590" s="1462"/>
      <c r="U590" s="1462"/>
      <c r="V590" s="1462"/>
      <c r="W590" s="1462"/>
      <c r="X590" s="1462"/>
      <c r="Y590" s="1462"/>
    </row>
    <row r="591" spans="1:25" x14ac:dyDescent="0.3">
      <c r="A591" s="2294"/>
      <c r="B591" s="2294"/>
      <c r="C591" s="2294"/>
      <c r="D591" s="2294"/>
      <c r="E591" s="1461"/>
      <c r="R591" s="1462"/>
      <c r="S591" s="1462"/>
      <c r="T591" s="1462"/>
      <c r="U591" s="1462"/>
      <c r="V591" s="1462"/>
      <c r="W591" s="1462"/>
      <c r="X591" s="1462"/>
      <c r="Y591" s="1462"/>
    </row>
    <row r="592" spans="1:25" x14ac:dyDescent="0.3">
      <c r="A592" s="2294"/>
      <c r="B592" s="2294"/>
      <c r="C592" s="2294"/>
      <c r="D592" s="2294"/>
      <c r="E592" s="1461"/>
      <c r="R592" s="1462"/>
      <c r="S592" s="1462"/>
      <c r="T592" s="1462"/>
      <c r="U592" s="1462"/>
      <c r="V592" s="1462"/>
      <c r="W592" s="1462"/>
      <c r="X592" s="1462"/>
      <c r="Y592" s="1462"/>
    </row>
    <row r="593" spans="1:25" x14ac:dyDescent="0.3">
      <c r="A593" s="2294"/>
      <c r="B593" s="2294"/>
      <c r="C593" s="2294"/>
      <c r="D593" s="2294"/>
      <c r="E593" s="1461"/>
      <c r="R593" s="1462"/>
      <c r="S593" s="1462"/>
      <c r="T593" s="1462"/>
      <c r="U593" s="1462"/>
      <c r="V593" s="1462"/>
      <c r="W593" s="1462"/>
      <c r="X593" s="1462"/>
      <c r="Y593" s="1462"/>
    </row>
    <row r="594" spans="1:25" x14ac:dyDescent="0.3">
      <c r="A594" s="2294"/>
      <c r="B594" s="2294"/>
      <c r="C594" s="2294"/>
      <c r="D594" s="2294"/>
      <c r="E594" s="1461"/>
      <c r="R594" s="1462"/>
      <c r="S594" s="1462"/>
      <c r="T594" s="1462"/>
      <c r="U594" s="1462"/>
      <c r="V594" s="1462"/>
      <c r="W594" s="1462"/>
      <c r="X594" s="1462"/>
      <c r="Y594" s="1462"/>
    </row>
    <row r="595" spans="1:25" x14ac:dyDescent="0.3">
      <c r="A595" s="2294"/>
      <c r="B595" s="2294"/>
      <c r="C595" s="2294"/>
      <c r="D595" s="2294"/>
      <c r="E595" s="1461"/>
      <c r="R595" s="1462"/>
      <c r="S595" s="1462"/>
      <c r="T595" s="1462"/>
      <c r="U595" s="1462"/>
      <c r="V595" s="1462"/>
      <c r="W595" s="1462"/>
      <c r="X595" s="1462"/>
      <c r="Y595" s="1462"/>
    </row>
    <row r="596" spans="1:25" x14ac:dyDescent="0.3">
      <c r="A596" s="2294"/>
      <c r="B596" s="2294"/>
      <c r="C596" s="2294"/>
      <c r="D596" s="2294"/>
      <c r="E596" s="1461"/>
      <c r="R596" s="1462"/>
      <c r="S596" s="1462"/>
      <c r="T596" s="1462"/>
      <c r="U596" s="1462"/>
      <c r="V596" s="1462"/>
      <c r="W596" s="1462"/>
      <c r="X596" s="1462"/>
      <c r="Y596" s="1462"/>
    </row>
    <row r="597" spans="1:25" x14ac:dyDescent="0.3">
      <c r="A597" s="2294"/>
      <c r="B597" s="2294"/>
      <c r="C597" s="2294"/>
      <c r="D597" s="2294"/>
      <c r="E597" s="1461"/>
      <c r="R597" s="1462"/>
      <c r="S597" s="1462"/>
      <c r="T597" s="1462"/>
      <c r="U597" s="1462"/>
      <c r="V597" s="1462"/>
      <c r="W597" s="1462"/>
      <c r="X597" s="1462"/>
      <c r="Y597" s="1462"/>
    </row>
    <row r="598" spans="1:25" x14ac:dyDescent="0.3">
      <c r="A598" s="2294"/>
      <c r="B598" s="2294"/>
      <c r="C598" s="2294"/>
      <c r="D598" s="2294"/>
      <c r="E598" s="1461"/>
      <c r="R598" s="1462"/>
      <c r="S598" s="1462"/>
      <c r="T598" s="1462"/>
      <c r="U598" s="1462"/>
      <c r="V598" s="1462"/>
      <c r="W598" s="1462"/>
      <c r="X598" s="1462"/>
      <c r="Y598" s="1462"/>
    </row>
    <row r="599" spans="1:25" x14ac:dyDescent="0.3">
      <c r="A599" s="2294"/>
      <c r="B599" s="2294"/>
      <c r="C599" s="2294"/>
      <c r="D599" s="2294"/>
      <c r="E599" s="1461"/>
      <c r="R599" s="1462"/>
      <c r="S599" s="1462"/>
      <c r="T599" s="1462"/>
      <c r="U599" s="1462"/>
      <c r="V599" s="1462"/>
      <c r="W599" s="1462"/>
      <c r="X599" s="1462"/>
      <c r="Y599" s="1462"/>
    </row>
    <row r="600" spans="1:25" x14ac:dyDescent="0.3">
      <c r="A600" s="2294"/>
      <c r="B600" s="2294"/>
      <c r="C600" s="2294"/>
      <c r="D600" s="2294"/>
      <c r="E600" s="1461"/>
      <c r="R600" s="1462"/>
      <c r="S600" s="1462"/>
      <c r="T600" s="1462"/>
      <c r="U600" s="1462"/>
      <c r="V600" s="1462"/>
      <c r="W600" s="1462"/>
      <c r="X600" s="1462"/>
      <c r="Y600" s="1462"/>
    </row>
    <row r="601" spans="1:25" x14ac:dyDescent="0.3">
      <c r="A601" s="2294"/>
      <c r="B601" s="2294"/>
      <c r="C601" s="2294"/>
      <c r="D601" s="2294"/>
      <c r="E601" s="1461"/>
      <c r="R601" s="1462"/>
      <c r="S601" s="1462"/>
      <c r="T601" s="1462"/>
      <c r="U601" s="1462"/>
      <c r="V601" s="1462"/>
      <c r="W601" s="1462"/>
      <c r="X601" s="1462"/>
      <c r="Y601" s="1462"/>
    </row>
    <row r="602" spans="1:25" x14ac:dyDescent="0.3">
      <c r="A602" s="2294"/>
      <c r="B602" s="2294"/>
      <c r="C602" s="2294"/>
      <c r="D602" s="2294"/>
      <c r="E602" s="1461"/>
      <c r="R602" s="1462"/>
      <c r="S602" s="1462"/>
      <c r="T602" s="1462"/>
      <c r="U602" s="1462"/>
      <c r="V602" s="1462"/>
      <c r="W602" s="1462"/>
      <c r="X602" s="1462"/>
      <c r="Y602" s="1462"/>
    </row>
    <row r="603" spans="1:25" x14ac:dyDescent="0.3">
      <c r="A603" s="2294"/>
      <c r="B603" s="2294"/>
      <c r="C603" s="2294"/>
      <c r="D603" s="2294"/>
      <c r="E603" s="1461"/>
      <c r="R603" s="1462"/>
      <c r="S603" s="1462"/>
      <c r="T603" s="1462"/>
      <c r="U603" s="1462"/>
      <c r="V603" s="1462"/>
      <c r="W603" s="1462"/>
      <c r="X603" s="1462"/>
      <c r="Y603" s="1462"/>
    </row>
    <row r="604" spans="1:25" x14ac:dyDescent="0.3">
      <c r="A604" s="2294"/>
      <c r="B604" s="2294"/>
      <c r="C604" s="2294"/>
      <c r="D604" s="2294"/>
      <c r="E604" s="1461"/>
      <c r="R604" s="1462"/>
      <c r="S604" s="1462"/>
      <c r="T604" s="1462"/>
      <c r="U604" s="1462"/>
      <c r="V604" s="1462"/>
      <c r="W604" s="1462"/>
      <c r="X604" s="1462"/>
      <c r="Y604" s="1462"/>
    </row>
    <row r="605" spans="1:25" x14ac:dyDescent="0.3">
      <c r="A605" s="2294"/>
      <c r="B605" s="2294"/>
      <c r="C605" s="2294"/>
      <c r="D605" s="2294"/>
      <c r="E605" s="1461"/>
      <c r="R605" s="1462"/>
      <c r="S605" s="1462"/>
      <c r="T605" s="1462"/>
      <c r="U605" s="1462"/>
      <c r="V605" s="1462"/>
      <c r="W605" s="1462"/>
      <c r="X605" s="1462"/>
      <c r="Y605" s="1462"/>
    </row>
    <row r="606" spans="1:25" x14ac:dyDescent="0.3">
      <c r="A606" s="2294"/>
      <c r="B606" s="2294"/>
      <c r="C606" s="2294"/>
      <c r="D606" s="2294"/>
      <c r="E606" s="1461"/>
      <c r="R606" s="1462"/>
      <c r="S606" s="1462"/>
      <c r="T606" s="1462"/>
      <c r="U606" s="1462"/>
      <c r="V606" s="1462"/>
      <c r="W606" s="1462"/>
      <c r="X606" s="1462"/>
      <c r="Y606" s="1462"/>
    </row>
    <row r="607" spans="1:25" x14ac:dyDescent="0.3">
      <c r="A607" s="2294"/>
      <c r="B607" s="2294"/>
      <c r="C607" s="2294"/>
      <c r="D607" s="2294"/>
      <c r="E607" s="1461"/>
      <c r="R607" s="1462"/>
      <c r="S607" s="1462"/>
      <c r="T607" s="1462"/>
      <c r="U607" s="1462"/>
      <c r="V607" s="1462"/>
      <c r="W607" s="1462"/>
      <c r="X607" s="1462"/>
      <c r="Y607" s="1462"/>
    </row>
    <row r="608" spans="1:25" x14ac:dyDescent="0.3">
      <c r="A608" s="2294"/>
      <c r="B608" s="2294"/>
      <c r="C608" s="2294"/>
      <c r="D608" s="2294"/>
      <c r="E608" s="1461"/>
      <c r="R608" s="1462"/>
      <c r="S608" s="1462"/>
      <c r="T608" s="1462"/>
      <c r="U608" s="1462"/>
      <c r="V608" s="1462"/>
      <c r="W608" s="1462"/>
      <c r="X608" s="1462"/>
      <c r="Y608" s="1462"/>
    </row>
    <row r="609" spans="1:25" x14ac:dyDescent="0.3">
      <c r="A609" s="2294"/>
      <c r="B609" s="2294"/>
      <c r="C609" s="2294"/>
      <c r="D609" s="2294"/>
      <c r="E609" s="1461"/>
      <c r="R609" s="1462"/>
      <c r="S609" s="1462"/>
      <c r="T609" s="1462"/>
      <c r="U609" s="1462"/>
      <c r="V609" s="1462"/>
      <c r="W609" s="1462"/>
      <c r="X609" s="1462"/>
      <c r="Y609" s="1462"/>
    </row>
    <row r="610" spans="1:25" x14ac:dyDescent="0.3">
      <c r="A610" s="2294"/>
      <c r="B610" s="2294"/>
      <c r="C610" s="2294"/>
      <c r="D610" s="2294"/>
      <c r="E610" s="1461"/>
      <c r="R610" s="1462"/>
      <c r="S610" s="1462"/>
      <c r="T610" s="1462"/>
      <c r="U610" s="1462"/>
      <c r="V610" s="1462"/>
      <c r="W610" s="1462"/>
      <c r="X610" s="1462"/>
      <c r="Y610" s="1462"/>
    </row>
    <row r="611" spans="1:25" x14ac:dyDescent="0.3">
      <c r="A611" s="2294"/>
      <c r="B611" s="2294"/>
      <c r="C611" s="2294"/>
      <c r="D611" s="2294"/>
      <c r="E611" s="1461"/>
      <c r="R611" s="1462"/>
      <c r="S611" s="1462"/>
      <c r="T611" s="1462"/>
      <c r="U611" s="1462"/>
      <c r="V611" s="1462"/>
      <c r="W611" s="1462"/>
      <c r="X611" s="1462"/>
      <c r="Y611" s="1462"/>
    </row>
    <row r="612" spans="1:25" x14ac:dyDescent="0.3">
      <c r="A612" s="2294"/>
      <c r="B612" s="2294"/>
      <c r="C612" s="2294"/>
      <c r="D612" s="2294"/>
      <c r="E612" s="1461"/>
      <c r="R612" s="1462"/>
      <c r="S612" s="1462"/>
      <c r="T612" s="1462"/>
      <c r="U612" s="1462"/>
      <c r="V612" s="1462"/>
      <c r="W612" s="1462"/>
      <c r="X612" s="1462"/>
      <c r="Y612" s="1462"/>
    </row>
    <row r="613" spans="1:25" x14ac:dyDescent="0.3">
      <c r="A613" s="2294"/>
      <c r="B613" s="2294"/>
      <c r="C613" s="2294"/>
      <c r="D613" s="2294"/>
      <c r="E613" s="1461"/>
      <c r="R613" s="1462"/>
      <c r="S613" s="1462"/>
      <c r="T613" s="1462"/>
      <c r="U613" s="1462"/>
      <c r="V613" s="1462"/>
      <c r="W613" s="1462"/>
      <c r="X613" s="1462"/>
      <c r="Y613" s="1462"/>
    </row>
    <row r="614" spans="1:25" x14ac:dyDescent="0.3">
      <c r="A614" s="2294"/>
      <c r="B614" s="2294"/>
      <c r="C614" s="2294"/>
      <c r="D614" s="2294"/>
      <c r="E614" s="1461"/>
      <c r="R614" s="1462"/>
      <c r="S614" s="1462"/>
      <c r="T614" s="1462"/>
      <c r="U614" s="1462"/>
      <c r="V614" s="1462"/>
      <c r="W614" s="1462"/>
      <c r="X614" s="1462"/>
      <c r="Y614" s="1462"/>
    </row>
    <row r="615" spans="1:25" x14ac:dyDescent="0.3">
      <c r="A615" s="2294"/>
      <c r="B615" s="2294"/>
      <c r="C615" s="2294"/>
      <c r="D615" s="2294"/>
      <c r="E615" s="1461"/>
      <c r="R615" s="1462"/>
      <c r="S615" s="1462"/>
      <c r="T615" s="1462"/>
      <c r="U615" s="1462"/>
      <c r="V615" s="1462"/>
      <c r="W615" s="1462"/>
      <c r="X615" s="1462"/>
      <c r="Y615" s="1462"/>
    </row>
    <row r="616" spans="1:25" x14ac:dyDescent="0.3">
      <c r="A616" s="2294"/>
      <c r="B616" s="2294"/>
      <c r="C616" s="2294"/>
      <c r="D616" s="2294"/>
      <c r="E616" s="1461"/>
      <c r="R616" s="1462"/>
      <c r="S616" s="1462"/>
      <c r="T616" s="1462"/>
      <c r="U616" s="1462"/>
      <c r="V616" s="1462"/>
      <c r="W616" s="1462"/>
      <c r="X616" s="1462"/>
      <c r="Y616" s="1462"/>
    </row>
    <row r="617" spans="1:25" x14ac:dyDescent="0.3">
      <c r="A617" s="2294"/>
      <c r="B617" s="2294"/>
      <c r="C617" s="2294"/>
      <c r="D617" s="2294"/>
      <c r="E617" s="1461"/>
      <c r="R617" s="1462"/>
      <c r="S617" s="1462"/>
      <c r="T617" s="1462"/>
      <c r="U617" s="1462"/>
      <c r="V617" s="1462"/>
      <c r="W617" s="1462"/>
      <c r="X617" s="1462"/>
      <c r="Y617" s="1462"/>
    </row>
    <row r="618" spans="1:25" x14ac:dyDescent="0.3">
      <c r="A618" s="2294"/>
      <c r="B618" s="2294"/>
      <c r="C618" s="2294"/>
      <c r="D618" s="2294"/>
      <c r="E618" s="1461"/>
      <c r="R618" s="1462"/>
      <c r="S618" s="1462"/>
      <c r="T618" s="1462"/>
      <c r="U618" s="1462"/>
      <c r="V618" s="1462"/>
      <c r="W618" s="1462"/>
      <c r="X618" s="1462"/>
      <c r="Y618" s="1462"/>
    </row>
    <row r="619" spans="1:25" x14ac:dyDescent="0.3">
      <c r="A619" s="2294"/>
      <c r="B619" s="2294"/>
      <c r="C619" s="2294"/>
      <c r="D619" s="2294"/>
      <c r="E619" s="1461"/>
      <c r="R619" s="1462"/>
      <c r="S619" s="1462"/>
      <c r="T619" s="1462"/>
      <c r="U619" s="1462"/>
      <c r="V619" s="1462"/>
      <c r="W619" s="1462"/>
      <c r="X619" s="1462"/>
      <c r="Y619" s="1462"/>
    </row>
    <row r="620" spans="1:25" x14ac:dyDescent="0.3">
      <c r="A620" s="2294"/>
      <c r="B620" s="2294"/>
      <c r="C620" s="2294"/>
      <c r="D620" s="2294"/>
      <c r="E620" s="1461"/>
      <c r="R620" s="1462"/>
      <c r="S620" s="1462"/>
      <c r="T620" s="1462"/>
      <c r="U620" s="1462"/>
      <c r="V620" s="1462"/>
      <c r="W620" s="1462"/>
      <c r="X620" s="1462"/>
      <c r="Y620" s="1462"/>
    </row>
    <row r="621" spans="1:25" x14ac:dyDescent="0.3">
      <c r="A621" s="2294"/>
      <c r="B621" s="2294"/>
      <c r="C621" s="2294"/>
      <c r="D621" s="2294"/>
      <c r="E621" s="1461"/>
      <c r="R621" s="1462"/>
      <c r="S621" s="1462"/>
      <c r="T621" s="1462"/>
      <c r="U621" s="1462"/>
      <c r="V621" s="1462"/>
      <c r="W621" s="1462"/>
      <c r="X621" s="1462"/>
      <c r="Y621" s="1462"/>
    </row>
    <row r="622" spans="1:25" x14ac:dyDescent="0.3">
      <c r="A622" s="2294"/>
      <c r="B622" s="2294"/>
      <c r="C622" s="2294"/>
      <c r="D622" s="2294"/>
      <c r="E622" s="1461"/>
      <c r="R622" s="1462"/>
      <c r="S622" s="1462"/>
      <c r="T622" s="1462"/>
      <c r="U622" s="1462"/>
      <c r="V622" s="1462"/>
      <c r="W622" s="1462"/>
      <c r="X622" s="1462"/>
      <c r="Y622" s="1462"/>
    </row>
    <row r="623" spans="1:25" x14ac:dyDescent="0.3">
      <c r="A623" s="2294"/>
      <c r="B623" s="2294"/>
      <c r="C623" s="2294"/>
      <c r="D623" s="2294"/>
      <c r="E623" s="1461"/>
      <c r="R623" s="1462"/>
      <c r="S623" s="1462"/>
      <c r="T623" s="1462"/>
      <c r="U623" s="1462"/>
      <c r="V623" s="1462"/>
      <c r="W623" s="1462"/>
      <c r="X623" s="1462"/>
      <c r="Y623" s="1462"/>
    </row>
    <row r="624" spans="1:25" x14ac:dyDescent="0.3">
      <c r="A624" s="2294"/>
      <c r="B624" s="2294"/>
      <c r="C624" s="2294"/>
      <c r="D624" s="2294"/>
      <c r="E624" s="1461"/>
      <c r="R624" s="1462"/>
      <c r="S624" s="1462"/>
      <c r="T624" s="1462"/>
      <c r="U624" s="1462"/>
      <c r="V624" s="1462"/>
      <c r="W624" s="1462"/>
      <c r="X624" s="1462"/>
      <c r="Y624" s="1462"/>
    </row>
    <row r="625" spans="1:25" x14ac:dyDescent="0.3">
      <c r="A625" s="2294"/>
      <c r="B625" s="2294"/>
      <c r="C625" s="2294"/>
      <c r="D625" s="2294"/>
      <c r="E625" s="1461"/>
      <c r="R625" s="1462"/>
      <c r="S625" s="1462"/>
      <c r="T625" s="1462"/>
      <c r="U625" s="1462"/>
      <c r="V625" s="1462"/>
      <c r="W625" s="1462"/>
      <c r="X625" s="1462"/>
      <c r="Y625" s="1462"/>
    </row>
    <row r="626" spans="1:25" x14ac:dyDescent="0.3">
      <c r="A626" s="2294"/>
      <c r="B626" s="2294"/>
      <c r="C626" s="2294"/>
      <c r="D626" s="2294"/>
      <c r="E626" s="1461"/>
      <c r="R626" s="1462"/>
      <c r="S626" s="1462"/>
      <c r="T626" s="1462"/>
      <c r="U626" s="1462"/>
      <c r="V626" s="1462"/>
      <c r="W626" s="1462"/>
      <c r="X626" s="1462"/>
      <c r="Y626" s="1462"/>
    </row>
    <row r="627" spans="1:25" x14ac:dyDescent="0.3">
      <c r="A627" s="2294"/>
      <c r="B627" s="2294"/>
      <c r="C627" s="2294"/>
      <c r="D627" s="2294"/>
      <c r="E627" s="1461"/>
      <c r="R627" s="1462"/>
      <c r="S627" s="1462"/>
      <c r="T627" s="1462"/>
      <c r="U627" s="1462"/>
      <c r="V627" s="1462"/>
      <c r="W627" s="1462"/>
      <c r="X627" s="1462"/>
      <c r="Y627" s="1462"/>
    </row>
    <row r="628" spans="1:25" x14ac:dyDescent="0.3">
      <c r="A628" s="2294"/>
      <c r="B628" s="2294"/>
      <c r="C628" s="2294"/>
      <c r="D628" s="2294"/>
      <c r="E628" s="1461"/>
      <c r="R628" s="1462"/>
      <c r="S628" s="1462"/>
      <c r="T628" s="1462"/>
      <c r="U628" s="1462"/>
      <c r="V628" s="1462"/>
      <c r="W628" s="1462"/>
      <c r="X628" s="1462"/>
      <c r="Y628" s="1462"/>
    </row>
    <row r="629" spans="1:25" x14ac:dyDescent="0.3">
      <c r="A629" s="2294"/>
      <c r="B629" s="2294"/>
      <c r="C629" s="2294"/>
      <c r="D629" s="2294"/>
      <c r="E629" s="1461"/>
      <c r="R629" s="1462"/>
      <c r="S629" s="1462"/>
      <c r="T629" s="1462"/>
      <c r="U629" s="1462"/>
      <c r="V629" s="1462"/>
      <c r="W629" s="1462"/>
      <c r="X629" s="1462"/>
      <c r="Y629" s="1462"/>
    </row>
    <row r="630" spans="1:25" x14ac:dyDescent="0.3">
      <c r="A630" s="2294"/>
      <c r="B630" s="2294"/>
      <c r="C630" s="2294"/>
      <c r="D630" s="2294"/>
      <c r="E630" s="1461"/>
      <c r="R630" s="1462"/>
      <c r="S630" s="1462"/>
      <c r="T630" s="1462"/>
      <c r="U630" s="1462"/>
      <c r="V630" s="1462"/>
      <c r="W630" s="1462"/>
      <c r="X630" s="1462"/>
      <c r="Y630" s="1462"/>
    </row>
    <row r="631" spans="1:25" x14ac:dyDescent="0.3">
      <c r="A631" s="2294"/>
      <c r="B631" s="2294"/>
      <c r="C631" s="2294"/>
      <c r="D631" s="2294"/>
      <c r="E631" s="1461"/>
      <c r="R631" s="1462"/>
      <c r="S631" s="1462"/>
      <c r="T631" s="1462"/>
      <c r="U631" s="1462"/>
      <c r="V631" s="1462"/>
      <c r="W631" s="1462"/>
      <c r="X631" s="1462"/>
      <c r="Y631" s="1462"/>
    </row>
    <row r="632" spans="1:25" x14ac:dyDescent="0.3">
      <c r="A632" s="2294"/>
      <c r="B632" s="2294"/>
      <c r="C632" s="2294"/>
      <c r="D632" s="2294"/>
      <c r="E632" s="1461"/>
      <c r="R632" s="1462"/>
      <c r="S632" s="1462"/>
      <c r="T632" s="1462"/>
      <c r="U632" s="1462"/>
      <c r="V632" s="1462"/>
      <c r="W632" s="1462"/>
      <c r="X632" s="1462"/>
      <c r="Y632" s="1462"/>
    </row>
    <row r="633" spans="1:25" x14ac:dyDescent="0.3">
      <c r="A633" s="2294"/>
      <c r="B633" s="2294"/>
      <c r="C633" s="2294"/>
      <c r="D633" s="2294"/>
      <c r="E633" s="1461"/>
      <c r="R633" s="1462"/>
      <c r="S633" s="1462"/>
      <c r="T633" s="1462"/>
      <c r="U633" s="1462"/>
      <c r="V633" s="1462"/>
      <c r="W633" s="1462"/>
      <c r="X633" s="1462"/>
      <c r="Y633" s="1462"/>
    </row>
    <row r="634" spans="1:25" x14ac:dyDescent="0.3">
      <c r="A634" s="2294"/>
      <c r="B634" s="2294"/>
      <c r="C634" s="2294"/>
      <c r="D634" s="2294"/>
      <c r="E634" s="1461"/>
      <c r="R634" s="1462"/>
      <c r="S634" s="1462"/>
      <c r="T634" s="1462"/>
      <c r="U634" s="1462"/>
      <c r="V634" s="1462"/>
      <c r="W634" s="1462"/>
      <c r="X634" s="1462"/>
      <c r="Y634" s="1462"/>
    </row>
    <row r="635" spans="1:25" x14ac:dyDescent="0.3">
      <c r="A635" s="2294"/>
      <c r="B635" s="2294"/>
      <c r="C635" s="2294"/>
      <c r="D635" s="2294"/>
      <c r="E635" s="1461"/>
      <c r="R635" s="1462"/>
      <c r="S635" s="1462"/>
      <c r="T635" s="1462"/>
      <c r="U635" s="1462"/>
      <c r="V635" s="1462"/>
      <c r="W635" s="1462"/>
      <c r="X635" s="1462"/>
      <c r="Y635" s="1462"/>
    </row>
    <row r="636" spans="1:25" x14ac:dyDescent="0.3">
      <c r="A636" s="2294"/>
      <c r="B636" s="2294"/>
      <c r="C636" s="2294"/>
      <c r="D636" s="2294"/>
      <c r="E636" s="1461"/>
      <c r="R636" s="1462"/>
      <c r="S636" s="1462"/>
      <c r="T636" s="1462"/>
      <c r="U636" s="1462"/>
      <c r="V636" s="1462"/>
      <c r="W636" s="1462"/>
      <c r="X636" s="1462"/>
      <c r="Y636" s="1462"/>
    </row>
    <row r="637" spans="1:25" x14ac:dyDescent="0.3">
      <c r="A637" s="2294"/>
      <c r="B637" s="2294"/>
      <c r="C637" s="2294"/>
      <c r="D637" s="2294"/>
      <c r="E637" s="1461"/>
      <c r="R637" s="1462"/>
      <c r="S637" s="1462"/>
      <c r="T637" s="1462"/>
      <c r="U637" s="1462"/>
      <c r="V637" s="1462"/>
      <c r="W637" s="1462"/>
      <c r="X637" s="1462"/>
      <c r="Y637" s="1462"/>
    </row>
    <row r="638" spans="1:25" x14ac:dyDescent="0.3">
      <c r="A638" s="2294"/>
      <c r="B638" s="2294"/>
      <c r="C638" s="2294"/>
      <c r="D638" s="2294"/>
      <c r="E638" s="1461"/>
      <c r="R638" s="1462"/>
      <c r="S638" s="1462"/>
      <c r="T638" s="1462"/>
      <c r="U638" s="1462"/>
      <c r="V638" s="1462"/>
      <c r="W638" s="1462"/>
      <c r="X638" s="1462"/>
      <c r="Y638" s="1462"/>
    </row>
    <row r="639" spans="1:25" x14ac:dyDescent="0.3">
      <c r="A639" s="2294"/>
      <c r="B639" s="2294"/>
      <c r="C639" s="2294"/>
      <c r="D639" s="2294"/>
      <c r="E639" s="1461"/>
      <c r="R639" s="1462"/>
      <c r="S639" s="1462"/>
      <c r="T639" s="1462"/>
      <c r="U639" s="1462"/>
      <c r="V639" s="1462"/>
      <c r="W639" s="1462"/>
      <c r="X639" s="1462"/>
      <c r="Y639" s="1462"/>
    </row>
    <row r="640" spans="1:25" x14ac:dyDescent="0.3">
      <c r="A640" s="2294"/>
      <c r="B640" s="2294"/>
      <c r="C640" s="2294"/>
      <c r="D640" s="2294"/>
      <c r="E640" s="1461"/>
      <c r="R640" s="1462"/>
      <c r="S640" s="1462"/>
      <c r="T640" s="1462"/>
      <c r="U640" s="1462"/>
      <c r="V640" s="1462"/>
      <c r="W640" s="1462"/>
      <c r="X640" s="1462"/>
      <c r="Y640" s="1462"/>
    </row>
    <row r="641" spans="1:25" x14ac:dyDescent="0.3">
      <c r="A641" s="2294"/>
      <c r="B641" s="2294"/>
      <c r="C641" s="2294"/>
      <c r="D641" s="2294"/>
      <c r="E641" s="1461"/>
      <c r="R641" s="1462"/>
      <c r="S641" s="1462"/>
      <c r="T641" s="1462"/>
      <c r="U641" s="1462"/>
      <c r="V641" s="1462"/>
      <c r="W641" s="1462"/>
      <c r="X641" s="1462"/>
      <c r="Y641" s="1462"/>
    </row>
    <row r="642" spans="1:25" x14ac:dyDescent="0.3">
      <c r="A642" s="2294"/>
      <c r="B642" s="2294"/>
      <c r="C642" s="2294"/>
      <c r="D642" s="2294"/>
      <c r="E642" s="1461"/>
      <c r="R642" s="1462"/>
      <c r="S642" s="1462"/>
      <c r="T642" s="1462"/>
      <c r="U642" s="1462"/>
      <c r="V642" s="1462"/>
      <c r="W642" s="1462"/>
      <c r="X642" s="1462"/>
      <c r="Y642" s="1462"/>
    </row>
    <row r="643" spans="1:25" x14ac:dyDescent="0.3">
      <c r="A643" s="2294"/>
      <c r="B643" s="2294"/>
      <c r="C643" s="2294"/>
      <c r="D643" s="2294"/>
      <c r="E643" s="1461"/>
      <c r="R643" s="1462"/>
      <c r="S643" s="1462"/>
      <c r="T643" s="1462"/>
      <c r="U643" s="1462"/>
      <c r="V643" s="1462"/>
      <c r="W643" s="1462"/>
      <c r="X643" s="1462"/>
      <c r="Y643" s="1462"/>
    </row>
    <row r="644" spans="1:25" x14ac:dyDescent="0.3">
      <c r="A644" s="2294"/>
      <c r="B644" s="2294"/>
      <c r="C644" s="2294"/>
      <c r="D644" s="2294"/>
      <c r="E644" s="1461"/>
      <c r="R644" s="1462"/>
      <c r="S644" s="1462"/>
      <c r="T644" s="1462"/>
      <c r="U644" s="1462"/>
      <c r="V644" s="1462"/>
      <c r="W644" s="1462"/>
      <c r="X644" s="1462"/>
      <c r="Y644" s="1462"/>
    </row>
    <row r="645" spans="1:25" x14ac:dyDescent="0.3">
      <c r="A645" s="2294"/>
      <c r="B645" s="2294"/>
      <c r="C645" s="2294"/>
      <c r="D645" s="2294"/>
      <c r="E645" s="1461"/>
      <c r="R645" s="1462"/>
      <c r="S645" s="1462"/>
      <c r="T645" s="1462"/>
      <c r="U645" s="1462"/>
      <c r="V645" s="1462"/>
      <c r="W645" s="1462"/>
      <c r="X645" s="1462"/>
      <c r="Y645" s="1462"/>
    </row>
    <row r="646" spans="1:25" x14ac:dyDescent="0.3">
      <c r="A646" s="2294"/>
      <c r="B646" s="2294"/>
      <c r="C646" s="2294"/>
      <c r="D646" s="2294"/>
      <c r="E646" s="1461"/>
      <c r="R646" s="1462"/>
      <c r="S646" s="1462"/>
      <c r="T646" s="1462"/>
      <c r="U646" s="1462"/>
      <c r="V646" s="1462"/>
      <c r="W646" s="1462"/>
      <c r="X646" s="1462"/>
      <c r="Y646" s="1462"/>
    </row>
    <row r="647" spans="1:25" x14ac:dyDescent="0.3">
      <c r="A647" s="2294"/>
      <c r="B647" s="2294"/>
      <c r="C647" s="2294"/>
      <c r="D647" s="2294"/>
      <c r="E647" s="1461"/>
      <c r="R647" s="1462"/>
      <c r="S647" s="1462"/>
      <c r="T647" s="1462"/>
      <c r="U647" s="1462"/>
      <c r="V647" s="1462"/>
      <c r="W647" s="1462"/>
      <c r="X647" s="1462"/>
      <c r="Y647" s="1462"/>
    </row>
    <row r="648" spans="1:25" x14ac:dyDescent="0.3">
      <c r="A648" s="2294"/>
      <c r="B648" s="2294"/>
      <c r="C648" s="2294"/>
      <c r="D648" s="2294"/>
      <c r="E648" s="1461"/>
      <c r="R648" s="1462"/>
      <c r="S648" s="1462"/>
      <c r="T648" s="1462"/>
      <c r="U648" s="1462"/>
      <c r="V648" s="1462"/>
      <c r="W648" s="1462"/>
      <c r="X648" s="1462"/>
      <c r="Y648" s="1462"/>
    </row>
    <row r="649" spans="1:25" x14ac:dyDescent="0.3">
      <c r="A649" s="2294"/>
      <c r="B649" s="2294"/>
      <c r="C649" s="2294"/>
      <c r="D649" s="2294"/>
      <c r="E649" s="1461"/>
      <c r="R649" s="1462"/>
      <c r="S649" s="1462"/>
      <c r="T649" s="1462"/>
      <c r="U649" s="1462"/>
      <c r="V649" s="1462"/>
      <c r="W649" s="1462"/>
      <c r="X649" s="1462"/>
      <c r="Y649" s="1462"/>
    </row>
    <row r="650" spans="1:25" x14ac:dyDescent="0.3">
      <c r="A650" s="2294"/>
      <c r="B650" s="2294"/>
      <c r="C650" s="2294"/>
      <c r="D650" s="2294"/>
      <c r="E650" s="1461"/>
      <c r="R650" s="1462"/>
      <c r="S650" s="1462"/>
      <c r="T650" s="1462"/>
      <c r="U650" s="1462"/>
      <c r="V650" s="1462"/>
      <c r="W650" s="1462"/>
      <c r="X650" s="1462"/>
      <c r="Y650" s="1462"/>
    </row>
    <row r="651" spans="1:25" x14ac:dyDescent="0.3">
      <c r="A651" s="2294"/>
      <c r="B651" s="2294"/>
      <c r="C651" s="2294"/>
      <c r="D651" s="2294"/>
      <c r="E651" s="1461"/>
      <c r="R651" s="1462"/>
      <c r="S651" s="1462"/>
      <c r="T651" s="1462"/>
      <c r="U651" s="1462"/>
      <c r="V651" s="1462"/>
      <c r="W651" s="1462"/>
      <c r="X651" s="1462"/>
      <c r="Y651" s="1462"/>
    </row>
    <row r="652" spans="1:25" x14ac:dyDescent="0.3">
      <c r="A652" s="2294"/>
      <c r="B652" s="2294"/>
      <c r="C652" s="2294"/>
      <c r="D652" s="2294"/>
      <c r="E652" s="1461"/>
      <c r="R652" s="1462"/>
      <c r="S652" s="1462"/>
      <c r="T652" s="1462"/>
      <c r="U652" s="1462"/>
      <c r="V652" s="1462"/>
      <c r="W652" s="1462"/>
      <c r="X652" s="1462"/>
      <c r="Y652" s="1462"/>
    </row>
    <row r="653" spans="1:25" x14ac:dyDescent="0.3">
      <c r="A653" s="2294"/>
      <c r="B653" s="2294"/>
      <c r="C653" s="2294"/>
      <c r="D653" s="2294"/>
      <c r="E653" s="1461"/>
      <c r="R653" s="1462"/>
      <c r="S653" s="1462"/>
      <c r="T653" s="1462"/>
      <c r="U653" s="1462"/>
      <c r="V653" s="1462"/>
      <c r="W653" s="1462"/>
      <c r="X653" s="1462"/>
      <c r="Y653" s="1462"/>
    </row>
    <row r="654" spans="1:25" x14ac:dyDescent="0.3">
      <c r="A654" s="2294"/>
      <c r="B654" s="2294"/>
      <c r="C654" s="2294"/>
      <c r="D654" s="2294"/>
      <c r="E654" s="1461"/>
      <c r="R654" s="1462"/>
      <c r="S654" s="1462"/>
      <c r="T654" s="1462"/>
      <c r="U654" s="1462"/>
      <c r="V654" s="1462"/>
      <c r="W654" s="1462"/>
      <c r="X654" s="1462"/>
      <c r="Y654" s="1462"/>
    </row>
    <row r="655" spans="1:25" x14ac:dyDescent="0.3">
      <c r="A655" s="2294"/>
      <c r="B655" s="2294"/>
      <c r="C655" s="2294"/>
      <c r="D655" s="2294"/>
      <c r="E655" s="1461"/>
      <c r="R655" s="1462"/>
      <c r="S655" s="1462"/>
      <c r="T655" s="1462"/>
      <c r="U655" s="1462"/>
      <c r="V655" s="1462"/>
      <c r="W655" s="1462"/>
      <c r="X655" s="1462"/>
      <c r="Y655" s="1462"/>
    </row>
    <row r="656" spans="1:25" x14ac:dyDescent="0.3">
      <c r="A656" s="2294"/>
      <c r="B656" s="2294"/>
      <c r="C656" s="2294"/>
      <c r="D656" s="2294"/>
      <c r="E656" s="1461"/>
      <c r="R656" s="1462"/>
      <c r="S656" s="1462"/>
      <c r="T656" s="1462"/>
      <c r="U656" s="1462"/>
      <c r="V656" s="1462"/>
      <c r="W656" s="1462"/>
      <c r="X656" s="1462"/>
      <c r="Y656" s="1462"/>
    </row>
    <row r="657" spans="1:25" x14ac:dyDescent="0.3">
      <c r="A657" s="2294"/>
      <c r="B657" s="2294"/>
      <c r="C657" s="2294"/>
      <c r="D657" s="2294"/>
      <c r="E657" s="1461"/>
      <c r="R657" s="1462"/>
      <c r="S657" s="1462"/>
      <c r="T657" s="1462"/>
      <c r="U657" s="1462"/>
      <c r="V657" s="1462"/>
      <c r="W657" s="1462"/>
      <c r="X657" s="1462"/>
      <c r="Y657" s="1462"/>
    </row>
    <row r="658" spans="1:25" x14ac:dyDescent="0.3">
      <c r="A658" s="2294"/>
      <c r="B658" s="2294"/>
      <c r="C658" s="2294"/>
      <c r="D658" s="2294"/>
      <c r="E658" s="1461"/>
      <c r="R658" s="1462"/>
      <c r="S658" s="1462"/>
      <c r="T658" s="1462"/>
      <c r="U658" s="1462"/>
      <c r="V658" s="1462"/>
      <c r="W658" s="1462"/>
      <c r="X658" s="1462"/>
      <c r="Y658" s="1462"/>
    </row>
    <row r="659" spans="1:25" x14ac:dyDescent="0.3">
      <c r="A659" s="2294"/>
      <c r="B659" s="2294"/>
      <c r="C659" s="2294"/>
      <c r="D659" s="2294"/>
      <c r="E659" s="1461"/>
      <c r="R659" s="1462"/>
      <c r="S659" s="1462"/>
      <c r="T659" s="1462"/>
      <c r="U659" s="1462"/>
      <c r="V659" s="1462"/>
      <c r="W659" s="1462"/>
      <c r="X659" s="1462"/>
      <c r="Y659" s="1462"/>
    </row>
    <row r="660" spans="1:25" x14ac:dyDescent="0.3">
      <c r="A660" s="2294"/>
      <c r="B660" s="2294"/>
      <c r="C660" s="2294"/>
      <c r="D660" s="2294"/>
      <c r="E660" s="1461"/>
      <c r="R660" s="1462"/>
      <c r="S660" s="1462"/>
      <c r="T660" s="1462"/>
      <c r="U660" s="1462"/>
      <c r="V660" s="1462"/>
      <c r="W660" s="1462"/>
      <c r="X660" s="1462"/>
      <c r="Y660" s="1462"/>
    </row>
    <row r="661" spans="1:25" x14ac:dyDescent="0.3">
      <c r="A661" s="2294"/>
      <c r="B661" s="2294"/>
      <c r="C661" s="2294"/>
      <c r="D661" s="2294"/>
      <c r="E661" s="1461"/>
      <c r="R661" s="1462"/>
      <c r="S661" s="1462"/>
      <c r="T661" s="1462"/>
      <c r="U661" s="1462"/>
      <c r="V661" s="1462"/>
      <c r="W661" s="1462"/>
      <c r="X661" s="1462"/>
      <c r="Y661" s="1462"/>
    </row>
    <row r="662" spans="1:25" x14ac:dyDescent="0.3">
      <c r="A662" s="2294"/>
      <c r="B662" s="2294"/>
      <c r="C662" s="2294"/>
      <c r="D662" s="2294"/>
      <c r="E662" s="1461"/>
      <c r="R662" s="1462"/>
      <c r="S662" s="1462"/>
      <c r="T662" s="1462"/>
      <c r="U662" s="1462"/>
      <c r="V662" s="1462"/>
      <c r="W662" s="1462"/>
      <c r="X662" s="1462"/>
      <c r="Y662" s="1462"/>
    </row>
    <row r="663" spans="1:25" x14ac:dyDescent="0.3">
      <c r="A663" s="2294"/>
      <c r="B663" s="2294"/>
      <c r="C663" s="2294"/>
      <c r="D663" s="2294"/>
      <c r="E663" s="1461"/>
      <c r="R663" s="1462"/>
      <c r="S663" s="1462"/>
      <c r="T663" s="1462"/>
      <c r="U663" s="1462"/>
      <c r="V663" s="1462"/>
      <c r="W663" s="1462"/>
      <c r="X663" s="1462"/>
      <c r="Y663" s="1462"/>
    </row>
    <row r="664" spans="1:25" x14ac:dyDescent="0.3">
      <c r="A664" s="2294"/>
      <c r="B664" s="2294"/>
      <c r="C664" s="2294"/>
      <c r="D664" s="2294"/>
      <c r="E664" s="1461"/>
      <c r="R664" s="1462"/>
      <c r="S664" s="1462"/>
      <c r="T664" s="1462"/>
      <c r="U664" s="1462"/>
      <c r="V664" s="1462"/>
      <c r="W664" s="1462"/>
      <c r="X664" s="1462"/>
      <c r="Y664" s="1462"/>
    </row>
    <row r="665" spans="1:25" x14ac:dyDescent="0.3">
      <c r="A665" s="2294"/>
      <c r="B665" s="2294"/>
      <c r="C665" s="2294"/>
      <c r="D665" s="2294"/>
      <c r="E665" s="1461"/>
      <c r="R665" s="1462"/>
      <c r="S665" s="1462"/>
      <c r="T665" s="1462"/>
      <c r="U665" s="1462"/>
      <c r="V665" s="1462"/>
      <c r="W665" s="1462"/>
      <c r="X665" s="1462"/>
      <c r="Y665" s="1462"/>
    </row>
    <row r="666" spans="1:25" x14ac:dyDescent="0.3">
      <c r="A666" s="2294"/>
      <c r="B666" s="2294"/>
      <c r="C666" s="2294"/>
      <c r="D666" s="2294"/>
      <c r="E666" s="1461"/>
      <c r="R666" s="1462"/>
      <c r="S666" s="1462"/>
      <c r="T666" s="1462"/>
      <c r="U666" s="1462"/>
      <c r="V666" s="1462"/>
      <c r="W666" s="1462"/>
      <c r="X666" s="1462"/>
      <c r="Y666" s="1462"/>
    </row>
    <row r="667" spans="1:25" x14ac:dyDescent="0.3">
      <c r="A667" s="2294"/>
      <c r="B667" s="2294"/>
      <c r="C667" s="2294"/>
      <c r="D667" s="2294"/>
      <c r="E667" s="1461"/>
      <c r="R667" s="1462"/>
      <c r="S667" s="1462"/>
      <c r="T667" s="1462"/>
      <c r="U667" s="1462"/>
      <c r="V667" s="1462"/>
      <c r="W667" s="1462"/>
      <c r="X667" s="1462"/>
      <c r="Y667" s="1462"/>
    </row>
    <row r="668" spans="1:25" x14ac:dyDescent="0.3">
      <c r="A668" s="2294"/>
      <c r="B668" s="2294"/>
      <c r="C668" s="2294"/>
      <c r="D668" s="2294"/>
      <c r="E668" s="1461"/>
      <c r="R668" s="1462"/>
      <c r="S668" s="1462"/>
      <c r="T668" s="1462"/>
      <c r="U668" s="1462"/>
      <c r="V668" s="1462"/>
      <c r="W668" s="1462"/>
      <c r="X668" s="1462"/>
      <c r="Y668" s="1462"/>
    </row>
    <row r="669" spans="1:25" x14ac:dyDescent="0.3">
      <c r="A669" s="2294"/>
      <c r="B669" s="2294"/>
      <c r="C669" s="2294"/>
      <c r="D669" s="2294"/>
      <c r="E669" s="1461"/>
      <c r="R669" s="1462"/>
      <c r="S669" s="1462"/>
      <c r="T669" s="1462"/>
      <c r="U669" s="1462"/>
      <c r="V669" s="1462"/>
      <c r="W669" s="1462"/>
      <c r="X669" s="1462"/>
      <c r="Y669" s="1462"/>
    </row>
    <row r="670" spans="1:25" x14ac:dyDescent="0.3">
      <c r="A670" s="2294"/>
      <c r="B670" s="2294"/>
      <c r="C670" s="2294"/>
      <c r="D670" s="2294"/>
      <c r="E670" s="1461"/>
      <c r="R670" s="1462"/>
      <c r="S670" s="1462"/>
      <c r="T670" s="1462"/>
      <c r="U670" s="1462"/>
      <c r="V670" s="1462"/>
      <c r="W670" s="1462"/>
      <c r="X670" s="1462"/>
      <c r="Y670" s="1462"/>
    </row>
    <row r="671" spans="1:25" x14ac:dyDescent="0.3">
      <c r="A671" s="2294"/>
      <c r="B671" s="2294"/>
      <c r="C671" s="2294"/>
      <c r="D671" s="2294"/>
      <c r="E671" s="1461"/>
      <c r="R671" s="1462"/>
      <c r="S671" s="1462"/>
      <c r="T671" s="1462"/>
      <c r="U671" s="1462"/>
      <c r="V671" s="1462"/>
      <c r="W671" s="1462"/>
      <c r="X671" s="1462"/>
      <c r="Y671" s="1462"/>
    </row>
    <row r="672" spans="1:25" x14ac:dyDescent="0.3">
      <c r="A672" s="2294"/>
      <c r="B672" s="2294"/>
      <c r="C672" s="2294"/>
      <c r="D672" s="2294"/>
      <c r="E672" s="1461"/>
      <c r="R672" s="1462"/>
      <c r="S672" s="1462"/>
      <c r="T672" s="1462"/>
      <c r="U672" s="1462"/>
      <c r="V672" s="1462"/>
      <c r="W672" s="1462"/>
      <c r="X672" s="1462"/>
      <c r="Y672" s="1462"/>
    </row>
    <row r="673" spans="1:25" x14ac:dyDescent="0.3">
      <c r="A673" s="2294"/>
      <c r="B673" s="2294"/>
      <c r="C673" s="2294"/>
      <c r="D673" s="2294"/>
      <c r="E673" s="1461"/>
      <c r="R673" s="1462"/>
      <c r="S673" s="1462"/>
      <c r="T673" s="1462"/>
      <c r="U673" s="1462"/>
      <c r="V673" s="1462"/>
      <c r="W673" s="1462"/>
      <c r="X673" s="1462"/>
      <c r="Y673" s="1462"/>
    </row>
    <row r="674" spans="1:25" x14ac:dyDescent="0.3">
      <c r="A674" s="2294"/>
      <c r="B674" s="2294"/>
      <c r="C674" s="2294"/>
      <c r="D674" s="2294"/>
      <c r="E674" s="1461"/>
      <c r="R674" s="1462"/>
      <c r="S674" s="1462"/>
      <c r="T674" s="1462"/>
      <c r="U674" s="1462"/>
      <c r="V674" s="1462"/>
      <c r="W674" s="1462"/>
      <c r="X674" s="1462"/>
      <c r="Y674" s="1462"/>
    </row>
    <row r="675" spans="1:25" x14ac:dyDescent="0.3">
      <c r="A675" s="2294"/>
      <c r="B675" s="2294"/>
      <c r="C675" s="2294"/>
      <c r="D675" s="2294"/>
      <c r="E675" s="1461"/>
      <c r="R675" s="1462"/>
      <c r="S675" s="1462"/>
      <c r="T675" s="1462"/>
      <c r="U675" s="1462"/>
      <c r="V675" s="1462"/>
      <c r="W675" s="1462"/>
      <c r="X675" s="1462"/>
      <c r="Y675" s="1462"/>
    </row>
    <row r="676" spans="1:25" x14ac:dyDescent="0.3">
      <c r="A676" s="2294"/>
      <c r="B676" s="2294"/>
      <c r="C676" s="2294"/>
      <c r="D676" s="2294"/>
      <c r="E676" s="1461"/>
      <c r="R676" s="1462"/>
      <c r="S676" s="1462"/>
      <c r="T676" s="1462"/>
      <c r="U676" s="1462"/>
      <c r="V676" s="1462"/>
      <c r="W676" s="1462"/>
      <c r="X676" s="1462"/>
      <c r="Y676" s="1462"/>
    </row>
    <row r="677" spans="1:25" x14ac:dyDescent="0.3">
      <c r="A677" s="2294"/>
      <c r="B677" s="2294"/>
      <c r="C677" s="2294"/>
      <c r="D677" s="2294"/>
      <c r="E677" s="1461"/>
      <c r="R677" s="1462"/>
      <c r="S677" s="1462"/>
      <c r="T677" s="1462"/>
      <c r="U677" s="1462"/>
      <c r="V677" s="1462"/>
      <c r="W677" s="1462"/>
      <c r="X677" s="1462"/>
      <c r="Y677" s="1462"/>
    </row>
    <row r="678" spans="1:25" x14ac:dyDescent="0.3">
      <c r="A678" s="2294"/>
      <c r="B678" s="2294"/>
      <c r="C678" s="2294"/>
      <c r="D678" s="2294"/>
      <c r="E678" s="1461"/>
      <c r="R678" s="1462"/>
      <c r="S678" s="1462"/>
      <c r="T678" s="1462"/>
      <c r="U678" s="1462"/>
      <c r="V678" s="1462"/>
      <c r="W678" s="1462"/>
      <c r="X678" s="1462"/>
      <c r="Y678" s="1462"/>
    </row>
    <row r="679" spans="1:25" x14ac:dyDescent="0.3">
      <c r="A679" s="2294"/>
      <c r="B679" s="2294"/>
      <c r="C679" s="2294"/>
      <c r="D679" s="2294"/>
      <c r="E679" s="1461"/>
      <c r="R679" s="1462"/>
      <c r="S679" s="1462"/>
      <c r="T679" s="1462"/>
      <c r="U679" s="1462"/>
      <c r="V679" s="1462"/>
      <c r="W679" s="1462"/>
      <c r="X679" s="1462"/>
      <c r="Y679" s="1462"/>
    </row>
    <row r="680" spans="1:25" x14ac:dyDescent="0.3">
      <c r="A680" s="2294"/>
      <c r="B680" s="2294"/>
      <c r="C680" s="2294"/>
      <c r="D680" s="2294"/>
      <c r="E680" s="1461"/>
      <c r="R680" s="1462"/>
      <c r="S680" s="1462"/>
      <c r="T680" s="1462"/>
      <c r="U680" s="1462"/>
      <c r="V680" s="1462"/>
      <c r="W680" s="1462"/>
      <c r="X680" s="1462"/>
      <c r="Y680" s="1462"/>
    </row>
    <row r="681" spans="1:25" x14ac:dyDescent="0.3">
      <c r="A681" s="2294"/>
      <c r="B681" s="2294"/>
      <c r="C681" s="2294"/>
      <c r="D681" s="2294"/>
      <c r="E681" s="1461"/>
      <c r="R681" s="1462"/>
      <c r="S681" s="1462"/>
      <c r="T681" s="1462"/>
      <c r="U681" s="1462"/>
      <c r="V681" s="1462"/>
      <c r="W681" s="1462"/>
      <c r="X681" s="1462"/>
      <c r="Y681" s="1462"/>
    </row>
    <row r="682" spans="1:25" x14ac:dyDescent="0.3">
      <c r="A682" s="2294"/>
      <c r="B682" s="2294"/>
      <c r="C682" s="2294"/>
      <c r="D682" s="2294"/>
      <c r="E682" s="1461"/>
      <c r="R682" s="1462"/>
      <c r="S682" s="1462"/>
      <c r="T682" s="1462"/>
      <c r="U682" s="1462"/>
      <c r="V682" s="1462"/>
      <c r="W682" s="1462"/>
      <c r="X682" s="1462"/>
      <c r="Y682" s="1462"/>
    </row>
    <row r="683" spans="1:25" x14ac:dyDescent="0.3">
      <c r="A683" s="2294"/>
      <c r="B683" s="2294"/>
      <c r="C683" s="2294"/>
      <c r="D683" s="2294"/>
      <c r="E683" s="1461"/>
      <c r="R683" s="1462"/>
      <c r="S683" s="1462"/>
      <c r="T683" s="1462"/>
      <c r="U683" s="1462"/>
      <c r="V683" s="1462"/>
      <c r="W683" s="1462"/>
      <c r="X683" s="1462"/>
      <c r="Y683" s="1462"/>
    </row>
    <row r="684" spans="1:25" x14ac:dyDescent="0.3">
      <c r="A684" s="2294"/>
      <c r="B684" s="2294"/>
      <c r="C684" s="2294"/>
      <c r="D684" s="2294"/>
      <c r="E684" s="1461"/>
      <c r="R684" s="1462"/>
      <c r="S684" s="1462"/>
      <c r="T684" s="1462"/>
      <c r="U684" s="1462"/>
      <c r="V684" s="1462"/>
      <c r="W684" s="1462"/>
      <c r="X684" s="1462"/>
      <c r="Y684" s="1462"/>
    </row>
    <row r="685" spans="1:25" x14ac:dyDescent="0.3">
      <c r="A685" s="2294"/>
      <c r="B685" s="2294"/>
      <c r="C685" s="2294"/>
      <c r="D685" s="2294"/>
      <c r="E685" s="1461"/>
      <c r="R685" s="1462"/>
      <c r="S685" s="1462"/>
      <c r="T685" s="1462"/>
      <c r="U685" s="1462"/>
      <c r="V685" s="1462"/>
      <c r="W685" s="1462"/>
      <c r="X685" s="1462"/>
      <c r="Y685" s="1462"/>
    </row>
    <row r="686" spans="1:25" x14ac:dyDescent="0.3">
      <c r="A686" s="2294"/>
      <c r="B686" s="2294"/>
      <c r="C686" s="2294"/>
      <c r="D686" s="2294"/>
      <c r="E686" s="1461"/>
      <c r="R686" s="1462"/>
      <c r="S686" s="1462"/>
      <c r="T686" s="1462"/>
      <c r="U686" s="1462"/>
      <c r="V686" s="1462"/>
      <c r="W686" s="1462"/>
      <c r="X686" s="1462"/>
      <c r="Y686" s="1462"/>
    </row>
    <row r="687" spans="1:25" x14ac:dyDescent="0.3">
      <c r="A687" s="2294"/>
      <c r="B687" s="2294"/>
      <c r="C687" s="2294"/>
      <c r="D687" s="2294"/>
      <c r="E687" s="1461"/>
      <c r="R687" s="1462"/>
      <c r="S687" s="1462"/>
      <c r="T687" s="1462"/>
      <c r="U687" s="1462"/>
      <c r="V687" s="1462"/>
      <c r="W687" s="1462"/>
      <c r="X687" s="1462"/>
      <c r="Y687" s="1462"/>
    </row>
    <row r="688" spans="1:25" x14ac:dyDescent="0.3">
      <c r="A688" s="2294"/>
      <c r="B688" s="2294"/>
      <c r="C688" s="2294"/>
      <c r="D688" s="2294"/>
      <c r="E688" s="1461"/>
      <c r="R688" s="1462"/>
      <c r="S688" s="1462"/>
      <c r="T688" s="1462"/>
      <c r="U688" s="1462"/>
      <c r="V688" s="1462"/>
      <c r="W688" s="1462"/>
      <c r="X688" s="1462"/>
      <c r="Y688" s="1462"/>
    </row>
    <row r="689" spans="1:25" x14ac:dyDescent="0.3">
      <c r="A689" s="2294"/>
      <c r="B689" s="2294"/>
      <c r="C689" s="2294"/>
      <c r="D689" s="2294"/>
      <c r="E689" s="1461"/>
      <c r="R689" s="1462"/>
      <c r="S689" s="1462"/>
      <c r="T689" s="1462"/>
      <c r="U689" s="1462"/>
      <c r="V689" s="1462"/>
      <c r="W689" s="1462"/>
      <c r="X689" s="1462"/>
      <c r="Y689" s="1462"/>
    </row>
    <row r="690" spans="1:25" x14ac:dyDescent="0.3">
      <c r="A690" s="2294"/>
      <c r="B690" s="2294"/>
      <c r="C690" s="2294"/>
      <c r="D690" s="2294"/>
      <c r="E690" s="1461"/>
      <c r="R690" s="1462"/>
      <c r="S690" s="1462"/>
      <c r="T690" s="1462"/>
      <c r="U690" s="1462"/>
      <c r="V690" s="1462"/>
      <c r="W690" s="1462"/>
      <c r="X690" s="1462"/>
      <c r="Y690" s="1462"/>
    </row>
    <row r="691" spans="1:25" x14ac:dyDescent="0.3">
      <c r="A691" s="2294"/>
      <c r="B691" s="2294"/>
      <c r="C691" s="2294"/>
      <c r="D691" s="2294"/>
      <c r="E691" s="1461"/>
      <c r="R691" s="1462"/>
      <c r="S691" s="1462"/>
      <c r="T691" s="1462"/>
      <c r="U691" s="1462"/>
      <c r="V691" s="1462"/>
      <c r="W691" s="1462"/>
      <c r="X691" s="1462"/>
      <c r="Y691" s="1462"/>
    </row>
    <row r="692" spans="1:25" x14ac:dyDescent="0.3">
      <c r="A692" s="2294"/>
      <c r="B692" s="2294"/>
      <c r="C692" s="2294"/>
      <c r="D692" s="2294"/>
      <c r="E692" s="1461"/>
      <c r="R692" s="1462"/>
      <c r="S692" s="1462"/>
      <c r="T692" s="1462"/>
      <c r="U692" s="1462"/>
      <c r="V692" s="1462"/>
      <c r="W692" s="1462"/>
      <c r="X692" s="1462"/>
      <c r="Y692" s="1462"/>
    </row>
    <row r="693" spans="1:25" x14ac:dyDescent="0.3">
      <c r="A693" s="2294"/>
      <c r="B693" s="2294"/>
      <c r="C693" s="2294"/>
      <c r="D693" s="2294"/>
      <c r="E693" s="1461"/>
      <c r="R693" s="1462"/>
      <c r="S693" s="1462"/>
      <c r="T693" s="1462"/>
      <c r="U693" s="1462"/>
      <c r="V693" s="1462"/>
      <c r="W693" s="1462"/>
      <c r="X693" s="1462"/>
      <c r="Y693" s="1462"/>
    </row>
    <row r="694" spans="1:25" x14ac:dyDescent="0.3">
      <c r="A694" s="2294"/>
      <c r="B694" s="2294"/>
      <c r="C694" s="2294"/>
      <c r="D694" s="2294"/>
      <c r="E694" s="1461"/>
      <c r="R694" s="1462"/>
      <c r="S694" s="1462"/>
      <c r="T694" s="1462"/>
      <c r="U694" s="1462"/>
      <c r="V694" s="1462"/>
      <c r="W694" s="1462"/>
      <c r="X694" s="1462"/>
      <c r="Y694" s="1462"/>
    </row>
    <row r="695" spans="1:25" x14ac:dyDescent="0.3">
      <c r="A695" s="2294"/>
      <c r="B695" s="2294"/>
      <c r="C695" s="2294"/>
      <c r="D695" s="2294"/>
      <c r="E695" s="1461"/>
      <c r="R695" s="1462"/>
      <c r="S695" s="1462"/>
      <c r="T695" s="1462"/>
      <c r="U695" s="1462"/>
      <c r="V695" s="1462"/>
      <c r="W695" s="1462"/>
      <c r="X695" s="1462"/>
      <c r="Y695" s="1462"/>
    </row>
    <row r="696" spans="1:25" x14ac:dyDescent="0.3">
      <c r="A696" s="2294"/>
      <c r="B696" s="2294"/>
      <c r="C696" s="2294"/>
      <c r="D696" s="2294"/>
      <c r="E696" s="1461"/>
      <c r="R696" s="1462"/>
      <c r="S696" s="1462"/>
      <c r="T696" s="1462"/>
      <c r="U696" s="1462"/>
      <c r="V696" s="1462"/>
      <c r="W696" s="1462"/>
      <c r="X696" s="1462"/>
      <c r="Y696" s="1462"/>
    </row>
    <row r="697" spans="1:25" x14ac:dyDescent="0.3">
      <c r="A697" s="2294"/>
      <c r="B697" s="2294"/>
      <c r="C697" s="2294"/>
      <c r="D697" s="2294"/>
      <c r="E697" s="1461"/>
      <c r="R697" s="1462"/>
      <c r="S697" s="1462"/>
      <c r="T697" s="1462"/>
      <c r="U697" s="1462"/>
      <c r="V697" s="1462"/>
      <c r="W697" s="1462"/>
      <c r="X697" s="1462"/>
      <c r="Y697" s="1462"/>
    </row>
    <row r="698" spans="1:25" x14ac:dyDescent="0.3">
      <c r="A698" s="2294"/>
      <c r="B698" s="2294"/>
      <c r="C698" s="2294"/>
      <c r="D698" s="2294"/>
      <c r="E698" s="1461"/>
      <c r="R698" s="1462"/>
      <c r="S698" s="1462"/>
      <c r="T698" s="1462"/>
      <c r="U698" s="1462"/>
      <c r="V698" s="1462"/>
      <c r="W698" s="1462"/>
      <c r="X698" s="1462"/>
      <c r="Y698" s="1462"/>
    </row>
    <row r="699" spans="1:25" x14ac:dyDescent="0.3">
      <c r="A699" s="2294"/>
      <c r="B699" s="2294"/>
      <c r="C699" s="2294"/>
      <c r="D699" s="2294"/>
      <c r="E699" s="1461"/>
      <c r="R699" s="1462"/>
      <c r="S699" s="1462"/>
      <c r="T699" s="1462"/>
      <c r="U699" s="1462"/>
      <c r="V699" s="1462"/>
      <c r="W699" s="1462"/>
      <c r="X699" s="1462"/>
      <c r="Y699" s="1462"/>
    </row>
    <row r="700" spans="1:25" x14ac:dyDescent="0.3">
      <c r="A700" s="2294"/>
      <c r="B700" s="2294"/>
      <c r="C700" s="2294"/>
      <c r="D700" s="2294"/>
      <c r="E700" s="1461"/>
      <c r="R700" s="1462"/>
      <c r="S700" s="1462"/>
      <c r="T700" s="1462"/>
      <c r="U700" s="1462"/>
      <c r="V700" s="1462"/>
      <c r="W700" s="1462"/>
      <c r="X700" s="1462"/>
      <c r="Y700" s="1462"/>
    </row>
    <row r="701" spans="1:25" x14ac:dyDescent="0.3">
      <c r="A701" s="2294"/>
      <c r="B701" s="2294"/>
      <c r="C701" s="2294"/>
      <c r="D701" s="2294"/>
      <c r="E701" s="1461"/>
      <c r="R701" s="1462"/>
      <c r="S701" s="1462"/>
      <c r="T701" s="1462"/>
      <c r="U701" s="1462"/>
      <c r="V701" s="1462"/>
      <c r="W701" s="1462"/>
      <c r="X701" s="1462"/>
      <c r="Y701" s="1462"/>
    </row>
    <row r="702" spans="1:25" x14ac:dyDescent="0.3">
      <c r="A702" s="2294"/>
      <c r="B702" s="2294"/>
      <c r="C702" s="2294"/>
      <c r="D702" s="2294"/>
      <c r="E702" s="1461"/>
      <c r="R702" s="1462"/>
      <c r="S702" s="1462"/>
      <c r="T702" s="1462"/>
      <c r="U702" s="1462"/>
      <c r="V702" s="1462"/>
      <c r="W702" s="1462"/>
      <c r="X702" s="1462"/>
      <c r="Y702" s="1462"/>
    </row>
    <row r="703" spans="1:25" x14ac:dyDescent="0.3">
      <c r="A703" s="2294"/>
      <c r="B703" s="2294"/>
      <c r="C703" s="2294"/>
      <c r="D703" s="2294"/>
      <c r="E703" s="1461"/>
      <c r="R703" s="1462"/>
      <c r="S703" s="1462"/>
      <c r="T703" s="1462"/>
      <c r="U703" s="1462"/>
      <c r="V703" s="1462"/>
      <c r="W703" s="1462"/>
      <c r="X703" s="1462"/>
      <c r="Y703" s="1462"/>
    </row>
    <row r="704" spans="1:25" x14ac:dyDescent="0.3">
      <c r="A704" s="2294"/>
      <c r="B704" s="2294"/>
      <c r="C704" s="2294"/>
      <c r="D704" s="2294"/>
      <c r="E704" s="1461"/>
      <c r="R704" s="1462"/>
      <c r="S704" s="1462"/>
      <c r="T704" s="1462"/>
      <c r="U704" s="1462"/>
      <c r="V704" s="1462"/>
      <c r="W704" s="1462"/>
      <c r="X704" s="1462"/>
      <c r="Y704" s="1462"/>
    </row>
    <row r="705" spans="1:25" x14ac:dyDescent="0.3">
      <c r="A705" s="2294"/>
      <c r="B705" s="2294"/>
      <c r="C705" s="2294"/>
      <c r="D705" s="2294"/>
      <c r="E705" s="1461"/>
      <c r="R705" s="1462"/>
      <c r="S705" s="1462"/>
      <c r="T705" s="1462"/>
      <c r="U705" s="1462"/>
      <c r="V705" s="1462"/>
      <c r="W705" s="1462"/>
      <c r="X705" s="1462"/>
      <c r="Y705" s="1462"/>
    </row>
    <row r="706" spans="1:25" x14ac:dyDescent="0.3">
      <c r="A706" s="2294"/>
      <c r="B706" s="2294"/>
      <c r="C706" s="2294"/>
      <c r="D706" s="2294"/>
      <c r="E706" s="1461"/>
      <c r="R706" s="1462"/>
      <c r="S706" s="1462"/>
      <c r="T706" s="1462"/>
      <c r="U706" s="1462"/>
      <c r="V706" s="1462"/>
      <c r="W706" s="1462"/>
      <c r="X706" s="1462"/>
      <c r="Y706" s="1462"/>
    </row>
    <row r="707" spans="1:25" x14ac:dyDescent="0.3">
      <c r="A707" s="2294"/>
      <c r="B707" s="2294"/>
      <c r="C707" s="2294"/>
      <c r="D707" s="2294"/>
      <c r="E707" s="1461"/>
      <c r="R707" s="1462"/>
      <c r="S707" s="1462"/>
      <c r="T707" s="1462"/>
      <c r="U707" s="1462"/>
      <c r="V707" s="1462"/>
      <c r="W707" s="1462"/>
      <c r="X707" s="1462"/>
      <c r="Y707" s="1462"/>
    </row>
    <row r="708" spans="1:25" x14ac:dyDescent="0.3">
      <c r="A708" s="2294"/>
      <c r="B708" s="2294"/>
      <c r="C708" s="2294"/>
      <c r="D708" s="2294"/>
      <c r="E708" s="1461"/>
      <c r="R708" s="1462"/>
      <c r="S708" s="1462"/>
      <c r="T708" s="1462"/>
      <c r="U708" s="1462"/>
      <c r="V708" s="1462"/>
      <c r="W708" s="1462"/>
      <c r="X708" s="1462"/>
      <c r="Y708" s="1462"/>
    </row>
    <row r="709" spans="1:25" x14ac:dyDescent="0.3">
      <c r="A709" s="2294"/>
      <c r="B709" s="2294"/>
      <c r="C709" s="2294"/>
      <c r="D709" s="2294"/>
      <c r="E709" s="1461"/>
      <c r="R709" s="1462"/>
      <c r="S709" s="1462"/>
      <c r="T709" s="1462"/>
      <c r="U709" s="1462"/>
      <c r="V709" s="1462"/>
      <c r="W709" s="1462"/>
      <c r="X709" s="1462"/>
      <c r="Y709" s="1462"/>
    </row>
    <row r="710" spans="1:25" x14ac:dyDescent="0.3">
      <c r="A710" s="2294"/>
      <c r="B710" s="2294"/>
      <c r="C710" s="2294"/>
      <c r="D710" s="2294"/>
      <c r="E710" s="1461"/>
      <c r="R710" s="1462"/>
      <c r="S710" s="1462"/>
      <c r="T710" s="1462"/>
      <c r="U710" s="1462"/>
      <c r="V710" s="1462"/>
      <c r="W710" s="1462"/>
      <c r="X710" s="1462"/>
      <c r="Y710" s="1462"/>
    </row>
    <row r="711" spans="1:25" x14ac:dyDescent="0.3">
      <c r="A711" s="2294"/>
      <c r="B711" s="2294"/>
      <c r="C711" s="2294"/>
      <c r="D711" s="2294"/>
      <c r="E711" s="1461"/>
      <c r="R711" s="1462"/>
      <c r="S711" s="1462"/>
      <c r="T711" s="1462"/>
      <c r="U711" s="1462"/>
      <c r="V711" s="1462"/>
      <c r="W711" s="1462"/>
      <c r="X711" s="1462"/>
      <c r="Y711" s="1462"/>
    </row>
    <row r="712" spans="1:25" x14ac:dyDescent="0.3">
      <c r="A712" s="2294"/>
      <c r="B712" s="2294"/>
      <c r="C712" s="2294"/>
      <c r="D712" s="2294"/>
      <c r="E712" s="1461"/>
      <c r="R712" s="1462"/>
      <c r="S712" s="1462"/>
      <c r="T712" s="1462"/>
      <c r="U712" s="1462"/>
      <c r="V712" s="1462"/>
      <c r="W712" s="1462"/>
      <c r="X712" s="1462"/>
      <c r="Y712" s="1462"/>
    </row>
    <row r="713" spans="1:25" x14ac:dyDescent="0.3">
      <c r="A713" s="2294"/>
      <c r="B713" s="2294"/>
      <c r="C713" s="2294"/>
      <c r="D713" s="2294"/>
      <c r="E713" s="1461"/>
      <c r="R713" s="1462"/>
      <c r="S713" s="1462"/>
      <c r="T713" s="1462"/>
      <c r="U713" s="1462"/>
      <c r="V713" s="1462"/>
      <c r="W713" s="1462"/>
      <c r="X713" s="1462"/>
      <c r="Y713" s="1462"/>
    </row>
    <row r="714" spans="1:25" x14ac:dyDescent="0.3">
      <c r="A714" s="2294"/>
      <c r="B714" s="2294"/>
      <c r="C714" s="2294"/>
      <c r="D714" s="2294"/>
      <c r="E714" s="1461"/>
      <c r="R714" s="1462"/>
      <c r="S714" s="1462"/>
      <c r="T714" s="1462"/>
      <c r="U714" s="1462"/>
      <c r="V714" s="1462"/>
      <c r="W714" s="1462"/>
      <c r="X714" s="1462"/>
      <c r="Y714" s="1462"/>
    </row>
    <row r="715" spans="1:25" x14ac:dyDescent="0.3">
      <c r="A715" s="2294"/>
      <c r="B715" s="2294"/>
      <c r="C715" s="2294"/>
      <c r="D715" s="2294"/>
      <c r="E715" s="1461"/>
      <c r="R715" s="1462"/>
      <c r="S715" s="1462"/>
      <c r="T715" s="1462"/>
      <c r="U715" s="1462"/>
      <c r="V715" s="1462"/>
      <c r="W715" s="1462"/>
      <c r="X715" s="1462"/>
      <c r="Y715" s="1462"/>
    </row>
    <row r="716" spans="1:25" x14ac:dyDescent="0.3">
      <c r="A716" s="2294"/>
      <c r="B716" s="2294"/>
      <c r="C716" s="2294"/>
      <c r="D716" s="2294"/>
      <c r="E716" s="1461"/>
      <c r="R716" s="1462"/>
      <c r="S716" s="1462"/>
      <c r="T716" s="1462"/>
      <c r="U716" s="1462"/>
      <c r="V716" s="1462"/>
      <c r="W716" s="1462"/>
      <c r="X716" s="1462"/>
      <c r="Y716" s="1462"/>
    </row>
    <row r="717" spans="1:25" x14ac:dyDescent="0.3">
      <c r="A717" s="2294"/>
      <c r="B717" s="2294"/>
      <c r="C717" s="2294"/>
      <c r="D717" s="2294"/>
      <c r="E717" s="1461"/>
      <c r="R717" s="1462"/>
      <c r="S717" s="1462"/>
      <c r="T717" s="1462"/>
      <c r="U717" s="1462"/>
      <c r="V717" s="1462"/>
      <c r="W717" s="1462"/>
      <c r="X717" s="1462"/>
      <c r="Y717" s="1462"/>
    </row>
    <row r="718" spans="1:25" x14ac:dyDescent="0.3">
      <c r="A718" s="2294"/>
      <c r="B718" s="2294"/>
      <c r="C718" s="2294"/>
      <c r="D718" s="2294"/>
      <c r="E718" s="1461"/>
      <c r="R718" s="1462"/>
      <c r="S718" s="1462"/>
      <c r="T718" s="1462"/>
      <c r="U718" s="1462"/>
      <c r="V718" s="1462"/>
      <c r="W718" s="1462"/>
      <c r="X718" s="1462"/>
      <c r="Y718" s="1462"/>
    </row>
    <row r="719" spans="1:25" x14ac:dyDescent="0.3">
      <c r="A719" s="2294"/>
      <c r="B719" s="2294"/>
      <c r="C719" s="2294"/>
      <c r="D719" s="2294"/>
      <c r="E719" s="1461"/>
      <c r="R719" s="1462"/>
      <c r="S719" s="1462"/>
      <c r="T719" s="1462"/>
      <c r="U719" s="1462"/>
      <c r="V719" s="1462"/>
      <c r="W719" s="1462"/>
      <c r="X719" s="1462"/>
      <c r="Y719" s="1462"/>
    </row>
    <row r="720" spans="1:25" x14ac:dyDescent="0.3">
      <c r="A720" s="2294"/>
      <c r="B720" s="2294"/>
      <c r="C720" s="2294"/>
      <c r="D720" s="2294"/>
      <c r="E720" s="1461"/>
      <c r="R720" s="1462"/>
      <c r="S720" s="1462"/>
      <c r="T720" s="1462"/>
      <c r="U720" s="1462"/>
      <c r="V720" s="1462"/>
      <c r="W720" s="1462"/>
      <c r="X720" s="1462"/>
      <c r="Y720" s="1462"/>
    </row>
    <row r="721" spans="1:25" x14ac:dyDescent="0.3">
      <c r="A721" s="2294"/>
      <c r="B721" s="2294"/>
      <c r="C721" s="2294"/>
      <c r="D721" s="2294"/>
      <c r="E721" s="1461"/>
      <c r="R721" s="1462"/>
      <c r="S721" s="1462"/>
      <c r="T721" s="1462"/>
      <c r="U721" s="1462"/>
      <c r="V721" s="1462"/>
      <c r="W721" s="1462"/>
      <c r="X721" s="1462"/>
      <c r="Y721" s="1462"/>
    </row>
    <row r="722" spans="1:25" x14ac:dyDescent="0.3">
      <c r="A722" s="2294"/>
      <c r="B722" s="2294"/>
      <c r="C722" s="2294"/>
      <c r="D722" s="2294"/>
      <c r="E722" s="1461"/>
      <c r="R722" s="1462"/>
      <c r="S722" s="1462"/>
      <c r="T722" s="1462"/>
      <c r="U722" s="1462"/>
      <c r="V722" s="1462"/>
      <c r="W722" s="1462"/>
      <c r="X722" s="1462"/>
      <c r="Y722" s="1462"/>
    </row>
    <row r="723" spans="1:25" x14ac:dyDescent="0.3">
      <c r="A723" s="2294"/>
      <c r="B723" s="2294"/>
      <c r="C723" s="2294"/>
      <c r="D723" s="2294"/>
      <c r="E723" s="1461"/>
      <c r="R723" s="1462"/>
      <c r="S723" s="1462"/>
      <c r="T723" s="1462"/>
      <c r="U723" s="1462"/>
      <c r="V723" s="1462"/>
      <c r="W723" s="1462"/>
      <c r="X723" s="1462"/>
      <c r="Y723" s="1462"/>
    </row>
    <row r="724" spans="1:25" x14ac:dyDescent="0.3">
      <c r="A724" s="2294"/>
      <c r="B724" s="2294"/>
      <c r="C724" s="2294"/>
      <c r="D724" s="2294"/>
      <c r="E724" s="1461"/>
      <c r="R724" s="1462"/>
      <c r="S724" s="1462"/>
      <c r="T724" s="1462"/>
      <c r="U724" s="1462"/>
      <c r="V724" s="1462"/>
      <c r="W724" s="1462"/>
      <c r="X724" s="1462"/>
      <c r="Y724" s="1462"/>
    </row>
    <row r="725" spans="1:25" x14ac:dyDescent="0.3">
      <c r="A725" s="2294"/>
      <c r="B725" s="2294"/>
      <c r="C725" s="2294"/>
      <c r="D725" s="2294"/>
      <c r="E725" s="1461"/>
      <c r="R725" s="1462"/>
      <c r="S725" s="1462"/>
      <c r="T725" s="1462"/>
      <c r="U725" s="1462"/>
      <c r="V725" s="1462"/>
      <c r="W725" s="1462"/>
      <c r="X725" s="1462"/>
      <c r="Y725" s="1462"/>
    </row>
    <row r="726" spans="1:25" x14ac:dyDescent="0.3">
      <c r="A726" s="2294"/>
      <c r="B726" s="2294"/>
      <c r="C726" s="2294"/>
      <c r="D726" s="2294"/>
      <c r="E726" s="1461"/>
      <c r="R726" s="1462"/>
      <c r="S726" s="1462"/>
      <c r="T726" s="1462"/>
      <c r="U726" s="1462"/>
      <c r="V726" s="1462"/>
      <c r="W726" s="1462"/>
      <c r="X726" s="1462"/>
      <c r="Y726" s="1462"/>
    </row>
    <row r="727" spans="1:25" x14ac:dyDescent="0.3">
      <c r="A727" s="2294"/>
      <c r="B727" s="2294"/>
      <c r="C727" s="2294"/>
      <c r="D727" s="2294"/>
      <c r="E727" s="1461"/>
      <c r="R727" s="1462"/>
      <c r="S727" s="1462"/>
      <c r="T727" s="1462"/>
      <c r="U727" s="1462"/>
      <c r="V727" s="1462"/>
      <c r="W727" s="1462"/>
      <c r="X727" s="1462"/>
      <c r="Y727" s="1462"/>
    </row>
    <row r="728" spans="1:25" x14ac:dyDescent="0.3">
      <c r="A728" s="2294"/>
      <c r="B728" s="2294"/>
      <c r="C728" s="2294"/>
      <c r="D728" s="2294"/>
      <c r="E728" s="1461"/>
      <c r="R728" s="1462"/>
      <c r="S728" s="1462"/>
      <c r="T728" s="1462"/>
      <c r="U728" s="1462"/>
      <c r="V728" s="1462"/>
      <c r="W728" s="1462"/>
      <c r="X728" s="1462"/>
      <c r="Y728" s="1462"/>
    </row>
    <row r="729" spans="1:25" x14ac:dyDescent="0.3">
      <c r="A729" s="2294"/>
      <c r="B729" s="2294"/>
      <c r="C729" s="2294"/>
      <c r="D729" s="2294"/>
      <c r="E729" s="1461"/>
      <c r="R729" s="1462"/>
      <c r="S729" s="1462"/>
      <c r="T729" s="1462"/>
      <c r="U729" s="1462"/>
      <c r="V729" s="1462"/>
      <c r="W729" s="1462"/>
      <c r="X729" s="1462"/>
      <c r="Y729" s="1462"/>
    </row>
    <row r="730" spans="1:25" x14ac:dyDescent="0.3">
      <c r="A730" s="2294"/>
      <c r="B730" s="2294"/>
      <c r="C730" s="2294"/>
      <c r="D730" s="2294"/>
      <c r="E730" s="1461"/>
      <c r="R730" s="1462"/>
      <c r="S730" s="1462"/>
      <c r="T730" s="1462"/>
      <c r="U730" s="1462"/>
      <c r="V730" s="1462"/>
      <c r="W730" s="1462"/>
      <c r="X730" s="1462"/>
      <c r="Y730" s="1462"/>
    </row>
    <row r="731" spans="1:25" x14ac:dyDescent="0.3">
      <c r="A731" s="2294"/>
      <c r="B731" s="2294"/>
      <c r="C731" s="2294"/>
      <c r="D731" s="2294"/>
      <c r="E731" s="1461"/>
      <c r="R731" s="1462"/>
      <c r="S731" s="1462"/>
      <c r="T731" s="1462"/>
      <c r="U731" s="1462"/>
      <c r="V731" s="1462"/>
      <c r="W731" s="1462"/>
      <c r="X731" s="1462"/>
      <c r="Y731" s="1462"/>
    </row>
    <row r="732" spans="1:25" x14ac:dyDescent="0.3">
      <c r="A732" s="2294"/>
      <c r="B732" s="2294"/>
      <c r="C732" s="2294"/>
      <c r="D732" s="2294"/>
      <c r="E732" s="1461"/>
      <c r="R732" s="1462"/>
      <c r="S732" s="1462"/>
      <c r="T732" s="1462"/>
      <c r="U732" s="1462"/>
      <c r="V732" s="1462"/>
      <c r="W732" s="1462"/>
      <c r="X732" s="1462"/>
      <c r="Y732" s="1462"/>
    </row>
    <row r="733" spans="1:25" x14ac:dyDescent="0.3">
      <c r="A733" s="2294"/>
      <c r="B733" s="2294"/>
      <c r="C733" s="2294"/>
      <c r="D733" s="2294"/>
      <c r="E733" s="1461"/>
      <c r="R733" s="1462"/>
      <c r="S733" s="1462"/>
      <c r="T733" s="1462"/>
      <c r="U733" s="1462"/>
      <c r="V733" s="1462"/>
      <c r="W733" s="1462"/>
      <c r="X733" s="1462"/>
      <c r="Y733" s="1462"/>
    </row>
    <row r="734" spans="1:25" x14ac:dyDescent="0.3">
      <c r="A734" s="2294"/>
      <c r="B734" s="2294"/>
      <c r="C734" s="2294"/>
      <c r="D734" s="2294"/>
      <c r="E734" s="1461"/>
      <c r="R734" s="1462"/>
      <c r="S734" s="1462"/>
      <c r="T734" s="1462"/>
      <c r="U734" s="1462"/>
      <c r="V734" s="1462"/>
      <c r="W734" s="1462"/>
      <c r="X734" s="1462"/>
      <c r="Y734" s="1462"/>
    </row>
    <row r="735" spans="1:25" x14ac:dyDescent="0.3">
      <c r="A735" s="2294"/>
      <c r="B735" s="2294"/>
      <c r="C735" s="2294"/>
      <c r="D735" s="2294"/>
      <c r="E735" s="1461"/>
      <c r="R735" s="1462"/>
      <c r="S735" s="1462"/>
      <c r="T735" s="1462"/>
      <c r="U735" s="1462"/>
      <c r="V735" s="1462"/>
      <c r="W735" s="1462"/>
      <c r="X735" s="1462"/>
      <c r="Y735" s="1462"/>
    </row>
    <row r="736" spans="1:25" x14ac:dyDescent="0.3">
      <c r="A736" s="2294"/>
      <c r="B736" s="2294"/>
      <c r="C736" s="2294"/>
      <c r="D736" s="2294"/>
      <c r="E736" s="1461"/>
      <c r="R736" s="1462"/>
      <c r="S736" s="1462"/>
      <c r="T736" s="1462"/>
      <c r="U736" s="1462"/>
      <c r="V736" s="1462"/>
      <c r="W736" s="1462"/>
      <c r="X736" s="1462"/>
      <c r="Y736" s="1462"/>
    </row>
    <row r="737" spans="1:25" x14ac:dyDescent="0.3">
      <c r="A737" s="2294"/>
      <c r="B737" s="2294"/>
      <c r="C737" s="2294"/>
      <c r="D737" s="2294"/>
      <c r="E737" s="1461"/>
      <c r="R737" s="1462"/>
      <c r="S737" s="1462"/>
      <c r="T737" s="1462"/>
      <c r="U737" s="1462"/>
      <c r="V737" s="1462"/>
      <c r="W737" s="1462"/>
      <c r="X737" s="1462"/>
      <c r="Y737" s="1462"/>
    </row>
    <row r="738" spans="1:25" x14ac:dyDescent="0.3">
      <c r="A738" s="2294"/>
      <c r="B738" s="2294"/>
      <c r="C738" s="2294"/>
      <c r="D738" s="2294"/>
      <c r="E738" s="1461"/>
      <c r="R738" s="1462"/>
      <c r="S738" s="1462"/>
      <c r="T738" s="1462"/>
      <c r="U738" s="1462"/>
      <c r="V738" s="1462"/>
      <c r="W738" s="1462"/>
      <c r="X738" s="1462"/>
      <c r="Y738" s="1462"/>
    </row>
    <row r="739" spans="1:25" x14ac:dyDescent="0.3">
      <c r="A739" s="2294"/>
      <c r="B739" s="2294"/>
      <c r="C739" s="2294"/>
      <c r="D739" s="2294"/>
      <c r="E739" s="1461"/>
      <c r="R739" s="1462"/>
      <c r="S739" s="1462"/>
      <c r="T739" s="1462"/>
      <c r="U739" s="1462"/>
      <c r="V739" s="1462"/>
      <c r="W739" s="1462"/>
      <c r="X739" s="1462"/>
      <c r="Y739" s="1462"/>
    </row>
    <row r="740" spans="1:25" x14ac:dyDescent="0.3">
      <c r="A740" s="2294"/>
      <c r="B740" s="2294"/>
      <c r="C740" s="2294"/>
      <c r="D740" s="2294"/>
      <c r="E740" s="1461"/>
      <c r="R740" s="1462"/>
      <c r="S740" s="1462"/>
      <c r="T740" s="1462"/>
      <c r="U740" s="1462"/>
      <c r="V740" s="1462"/>
      <c r="W740" s="1462"/>
      <c r="X740" s="1462"/>
      <c r="Y740" s="1462"/>
    </row>
    <row r="741" spans="1:25" x14ac:dyDescent="0.3">
      <c r="A741" s="2294"/>
      <c r="B741" s="2294"/>
      <c r="C741" s="2294"/>
      <c r="D741" s="2294"/>
      <c r="E741" s="1461"/>
      <c r="R741" s="1462"/>
      <c r="S741" s="1462"/>
      <c r="T741" s="1462"/>
      <c r="U741" s="1462"/>
      <c r="V741" s="1462"/>
      <c r="W741" s="1462"/>
      <c r="X741" s="1462"/>
      <c r="Y741" s="1462"/>
    </row>
    <row r="742" spans="1:25" x14ac:dyDescent="0.3">
      <c r="A742" s="2294"/>
      <c r="B742" s="2294"/>
      <c r="C742" s="2294"/>
      <c r="D742" s="2294"/>
      <c r="E742" s="1461"/>
      <c r="R742" s="1462"/>
      <c r="S742" s="1462"/>
      <c r="T742" s="1462"/>
      <c r="U742" s="1462"/>
      <c r="V742" s="1462"/>
      <c r="W742" s="1462"/>
      <c r="X742" s="1462"/>
      <c r="Y742" s="1462"/>
    </row>
    <row r="743" spans="1:25" x14ac:dyDescent="0.3">
      <c r="A743" s="2294"/>
      <c r="B743" s="2294"/>
      <c r="C743" s="2294"/>
      <c r="D743" s="2294"/>
      <c r="E743" s="1461"/>
      <c r="R743" s="1462"/>
      <c r="S743" s="1462"/>
      <c r="T743" s="1462"/>
      <c r="U743" s="1462"/>
      <c r="V743" s="1462"/>
      <c r="W743" s="1462"/>
      <c r="X743" s="1462"/>
      <c r="Y743" s="1462"/>
    </row>
    <row r="744" spans="1:25" x14ac:dyDescent="0.3">
      <c r="A744" s="2294"/>
      <c r="B744" s="2294"/>
      <c r="C744" s="2294"/>
      <c r="D744" s="2294"/>
      <c r="E744" s="1461"/>
      <c r="R744" s="1462"/>
      <c r="S744" s="1462"/>
      <c r="T744" s="1462"/>
      <c r="U744" s="1462"/>
      <c r="V744" s="1462"/>
      <c r="W744" s="1462"/>
      <c r="X744" s="1462"/>
      <c r="Y744" s="1462"/>
    </row>
    <row r="745" spans="1:25" x14ac:dyDescent="0.3">
      <c r="A745" s="2294"/>
      <c r="B745" s="2294"/>
      <c r="C745" s="2294"/>
      <c r="D745" s="2294"/>
      <c r="E745" s="1461"/>
      <c r="R745" s="1462"/>
      <c r="S745" s="1462"/>
      <c r="T745" s="1462"/>
      <c r="U745" s="1462"/>
      <c r="V745" s="1462"/>
      <c r="W745" s="1462"/>
      <c r="X745" s="1462"/>
      <c r="Y745" s="1462"/>
    </row>
    <row r="746" spans="1:25" x14ac:dyDescent="0.3">
      <c r="A746" s="2294"/>
      <c r="B746" s="2294"/>
      <c r="C746" s="2294"/>
      <c r="D746" s="2294"/>
      <c r="E746" s="1461"/>
      <c r="R746" s="1462"/>
      <c r="S746" s="1462"/>
      <c r="T746" s="1462"/>
      <c r="U746" s="1462"/>
      <c r="V746" s="1462"/>
      <c r="W746" s="1462"/>
      <c r="X746" s="1462"/>
      <c r="Y746" s="1462"/>
    </row>
    <row r="747" spans="1:25" x14ac:dyDescent="0.3">
      <c r="A747" s="2294"/>
      <c r="B747" s="2294"/>
      <c r="C747" s="2294"/>
      <c r="D747" s="2294"/>
      <c r="E747" s="1461"/>
      <c r="R747" s="1462"/>
      <c r="S747" s="1462"/>
      <c r="T747" s="1462"/>
      <c r="U747" s="1462"/>
      <c r="V747" s="1462"/>
      <c r="W747" s="1462"/>
      <c r="X747" s="1462"/>
      <c r="Y747" s="1462"/>
    </row>
    <row r="748" spans="1:25" x14ac:dyDescent="0.3">
      <c r="A748" s="2294"/>
      <c r="B748" s="2294"/>
      <c r="C748" s="2294"/>
      <c r="D748" s="2294"/>
      <c r="E748" s="1461"/>
      <c r="R748" s="1462"/>
      <c r="S748" s="1462"/>
      <c r="T748" s="1462"/>
      <c r="U748" s="1462"/>
      <c r="V748" s="1462"/>
      <c r="W748" s="1462"/>
      <c r="X748" s="1462"/>
      <c r="Y748" s="1462"/>
    </row>
    <row r="749" spans="1:25" x14ac:dyDescent="0.3">
      <c r="A749" s="2294"/>
      <c r="B749" s="2294"/>
      <c r="C749" s="2294"/>
      <c r="D749" s="2294"/>
      <c r="E749" s="1461"/>
      <c r="R749" s="1462"/>
      <c r="S749" s="1462"/>
      <c r="T749" s="1462"/>
      <c r="U749" s="1462"/>
      <c r="V749" s="1462"/>
      <c r="W749" s="1462"/>
      <c r="X749" s="1462"/>
      <c r="Y749" s="1462"/>
    </row>
    <row r="750" spans="1:25" x14ac:dyDescent="0.3">
      <c r="A750" s="2294"/>
      <c r="B750" s="2294"/>
      <c r="C750" s="2294"/>
      <c r="D750" s="2294"/>
      <c r="E750" s="1461"/>
      <c r="R750" s="1462"/>
      <c r="S750" s="1462"/>
      <c r="T750" s="1462"/>
      <c r="U750" s="1462"/>
      <c r="V750" s="1462"/>
      <c r="W750" s="1462"/>
      <c r="X750" s="1462"/>
      <c r="Y750" s="1462"/>
    </row>
    <row r="751" spans="1:25" x14ac:dyDescent="0.3">
      <c r="A751" s="2294"/>
      <c r="B751" s="2294"/>
      <c r="C751" s="2294"/>
      <c r="D751" s="2294"/>
      <c r="E751" s="1461"/>
      <c r="R751" s="1462"/>
      <c r="S751" s="1462"/>
      <c r="T751" s="1462"/>
      <c r="U751" s="1462"/>
      <c r="V751" s="1462"/>
      <c r="W751" s="1462"/>
      <c r="X751" s="1462"/>
      <c r="Y751" s="1462"/>
    </row>
    <row r="752" spans="1:25" x14ac:dyDescent="0.3">
      <c r="A752" s="2294"/>
      <c r="B752" s="2294"/>
      <c r="C752" s="2294"/>
      <c r="D752" s="2294"/>
      <c r="E752" s="1461"/>
      <c r="R752" s="1462"/>
      <c r="S752" s="1462"/>
      <c r="T752" s="1462"/>
      <c r="U752" s="1462"/>
      <c r="V752" s="1462"/>
      <c r="W752" s="1462"/>
      <c r="X752" s="1462"/>
      <c r="Y752" s="1462"/>
    </row>
    <row r="753" spans="1:25" x14ac:dyDescent="0.3">
      <c r="A753" s="2294"/>
      <c r="B753" s="2294"/>
      <c r="C753" s="2294"/>
      <c r="D753" s="2294"/>
      <c r="E753" s="1461"/>
      <c r="R753" s="1462"/>
      <c r="S753" s="1462"/>
      <c r="T753" s="1462"/>
      <c r="U753" s="1462"/>
      <c r="V753" s="1462"/>
      <c r="W753" s="1462"/>
      <c r="X753" s="1462"/>
      <c r="Y753" s="1462"/>
    </row>
    <row r="754" spans="1:25" x14ac:dyDescent="0.3">
      <c r="A754" s="2294"/>
      <c r="B754" s="2294"/>
      <c r="C754" s="2294"/>
      <c r="D754" s="2294"/>
      <c r="E754" s="1461"/>
      <c r="R754" s="1462"/>
      <c r="S754" s="1462"/>
      <c r="T754" s="1462"/>
      <c r="U754" s="1462"/>
      <c r="V754" s="1462"/>
      <c r="W754" s="1462"/>
      <c r="X754" s="1462"/>
      <c r="Y754" s="1462"/>
    </row>
    <row r="755" spans="1:25" x14ac:dyDescent="0.3">
      <c r="A755" s="2294"/>
      <c r="B755" s="2294"/>
      <c r="C755" s="2294"/>
      <c r="D755" s="2294"/>
      <c r="E755" s="1461"/>
      <c r="R755" s="1462"/>
      <c r="S755" s="1462"/>
      <c r="T755" s="1462"/>
      <c r="U755" s="1462"/>
      <c r="V755" s="1462"/>
      <c r="W755" s="1462"/>
      <c r="X755" s="1462"/>
      <c r="Y755" s="1462"/>
    </row>
    <row r="756" spans="1:25" x14ac:dyDescent="0.3">
      <c r="A756" s="2294"/>
      <c r="B756" s="2294"/>
      <c r="C756" s="2294"/>
      <c r="D756" s="2294"/>
      <c r="E756" s="1461"/>
      <c r="R756" s="1462"/>
      <c r="S756" s="1462"/>
      <c r="T756" s="1462"/>
      <c r="U756" s="1462"/>
      <c r="V756" s="1462"/>
      <c r="W756" s="1462"/>
      <c r="X756" s="1462"/>
      <c r="Y756" s="1462"/>
    </row>
    <row r="757" spans="1:25" x14ac:dyDescent="0.3">
      <c r="A757" s="2294"/>
      <c r="B757" s="2294"/>
      <c r="C757" s="2294"/>
      <c r="D757" s="2294"/>
      <c r="E757" s="1461"/>
      <c r="R757" s="1462"/>
      <c r="S757" s="1462"/>
      <c r="T757" s="1462"/>
      <c r="U757" s="1462"/>
      <c r="V757" s="1462"/>
      <c r="W757" s="1462"/>
      <c r="X757" s="1462"/>
      <c r="Y757" s="1462"/>
    </row>
    <row r="758" spans="1:25" x14ac:dyDescent="0.3">
      <c r="A758" s="2294"/>
      <c r="B758" s="2294"/>
      <c r="C758" s="2294"/>
      <c r="D758" s="2294"/>
      <c r="E758" s="1461"/>
      <c r="R758" s="1462"/>
      <c r="S758" s="1462"/>
      <c r="T758" s="1462"/>
      <c r="U758" s="1462"/>
      <c r="V758" s="1462"/>
      <c r="W758" s="1462"/>
      <c r="X758" s="1462"/>
      <c r="Y758" s="1462"/>
    </row>
    <row r="759" spans="1:25" x14ac:dyDescent="0.3">
      <c r="A759" s="2294"/>
      <c r="B759" s="2294"/>
      <c r="C759" s="2294"/>
      <c r="D759" s="2294"/>
      <c r="E759" s="1461"/>
      <c r="R759" s="1462"/>
      <c r="S759" s="1462"/>
      <c r="T759" s="1462"/>
      <c r="U759" s="1462"/>
      <c r="V759" s="1462"/>
      <c r="W759" s="1462"/>
      <c r="X759" s="1462"/>
      <c r="Y759" s="1462"/>
    </row>
    <row r="760" spans="1:25" x14ac:dyDescent="0.3">
      <c r="A760" s="2294"/>
      <c r="B760" s="2294"/>
      <c r="C760" s="2294"/>
      <c r="D760" s="2294"/>
      <c r="E760" s="1461"/>
      <c r="R760" s="1462"/>
      <c r="S760" s="1462"/>
      <c r="T760" s="1462"/>
      <c r="U760" s="1462"/>
      <c r="V760" s="1462"/>
      <c r="W760" s="1462"/>
      <c r="X760" s="1462"/>
      <c r="Y760" s="1462"/>
    </row>
    <row r="761" spans="1:25" x14ac:dyDescent="0.3">
      <c r="A761" s="2294"/>
      <c r="B761" s="2294"/>
      <c r="C761" s="2294"/>
      <c r="D761" s="2294"/>
      <c r="E761" s="1461"/>
      <c r="R761" s="1462"/>
      <c r="S761" s="1462"/>
      <c r="T761" s="1462"/>
      <c r="U761" s="1462"/>
      <c r="V761" s="1462"/>
      <c r="W761" s="1462"/>
      <c r="X761" s="1462"/>
      <c r="Y761" s="1462"/>
    </row>
    <row r="762" spans="1:25" x14ac:dyDescent="0.3">
      <c r="A762" s="2294"/>
      <c r="B762" s="2294"/>
      <c r="C762" s="2294"/>
      <c r="D762" s="2294"/>
      <c r="E762" s="1461"/>
      <c r="R762" s="1462"/>
      <c r="S762" s="1462"/>
      <c r="T762" s="1462"/>
      <c r="U762" s="1462"/>
      <c r="V762" s="1462"/>
      <c r="W762" s="1462"/>
      <c r="X762" s="1462"/>
      <c r="Y762" s="1462"/>
    </row>
    <row r="763" spans="1:25" x14ac:dyDescent="0.3">
      <c r="A763" s="2294"/>
      <c r="B763" s="2294"/>
      <c r="C763" s="2294"/>
      <c r="D763" s="2294"/>
      <c r="E763" s="1461"/>
      <c r="R763" s="1462"/>
      <c r="S763" s="1462"/>
      <c r="T763" s="1462"/>
      <c r="U763" s="1462"/>
      <c r="V763" s="1462"/>
      <c r="W763" s="1462"/>
      <c r="X763" s="1462"/>
      <c r="Y763" s="1462"/>
    </row>
    <row r="764" spans="1:25" x14ac:dyDescent="0.3">
      <c r="A764" s="2294"/>
      <c r="B764" s="2294"/>
      <c r="C764" s="2294"/>
      <c r="D764" s="2294"/>
      <c r="E764" s="1461"/>
      <c r="R764" s="1462"/>
      <c r="S764" s="1462"/>
      <c r="T764" s="1462"/>
      <c r="U764" s="1462"/>
      <c r="V764" s="1462"/>
      <c r="W764" s="1462"/>
      <c r="X764" s="1462"/>
      <c r="Y764" s="1462"/>
    </row>
    <row r="765" spans="1:25" x14ac:dyDescent="0.3">
      <c r="A765" s="2294"/>
      <c r="B765" s="2294"/>
      <c r="C765" s="2294"/>
      <c r="D765" s="2294"/>
      <c r="E765" s="1461"/>
      <c r="R765" s="1462"/>
      <c r="S765" s="1462"/>
      <c r="T765" s="1462"/>
      <c r="U765" s="1462"/>
      <c r="V765" s="1462"/>
      <c r="W765" s="1462"/>
      <c r="X765" s="1462"/>
      <c r="Y765" s="1462"/>
    </row>
    <row r="766" spans="1:25" x14ac:dyDescent="0.3">
      <c r="A766" s="2294"/>
      <c r="B766" s="2294"/>
      <c r="C766" s="2294"/>
      <c r="D766" s="2294"/>
      <c r="E766" s="1461"/>
      <c r="R766" s="1462"/>
      <c r="S766" s="1462"/>
      <c r="T766" s="1462"/>
      <c r="U766" s="1462"/>
      <c r="V766" s="1462"/>
      <c r="W766" s="1462"/>
      <c r="X766" s="1462"/>
      <c r="Y766" s="1462"/>
    </row>
    <row r="767" spans="1:25" x14ac:dyDescent="0.3">
      <c r="A767" s="2294"/>
      <c r="B767" s="2294"/>
      <c r="C767" s="2294"/>
      <c r="D767" s="2294"/>
      <c r="E767" s="1461"/>
      <c r="R767" s="1462"/>
      <c r="S767" s="1462"/>
      <c r="T767" s="1462"/>
      <c r="U767" s="1462"/>
      <c r="V767" s="1462"/>
      <c r="W767" s="1462"/>
      <c r="X767" s="1462"/>
      <c r="Y767" s="1462"/>
    </row>
    <row r="768" spans="1:25" x14ac:dyDescent="0.3">
      <c r="A768" s="2294"/>
      <c r="B768" s="2294"/>
      <c r="C768" s="2294"/>
      <c r="D768" s="2294"/>
      <c r="E768" s="1461"/>
      <c r="R768" s="1462"/>
      <c r="S768" s="1462"/>
      <c r="T768" s="1462"/>
      <c r="U768" s="1462"/>
      <c r="V768" s="1462"/>
      <c r="W768" s="1462"/>
      <c r="X768" s="1462"/>
      <c r="Y768" s="1462"/>
    </row>
    <row r="769" spans="1:25" x14ac:dyDescent="0.3">
      <c r="A769" s="2294"/>
      <c r="B769" s="2294"/>
      <c r="C769" s="2294"/>
      <c r="D769" s="2294"/>
      <c r="E769" s="1461"/>
      <c r="R769" s="1462"/>
      <c r="S769" s="1462"/>
      <c r="T769" s="1462"/>
      <c r="U769" s="1462"/>
      <c r="V769" s="1462"/>
      <c r="W769" s="1462"/>
      <c r="X769" s="1462"/>
      <c r="Y769" s="1462"/>
    </row>
    <row r="770" spans="1:25" x14ac:dyDescent="0.3">
      <c r="A770" s="2294"/>
      <c r="B770" s="2294"/>
      <c r="C770" s="2294"/>
      <c r="D770" s="2294"/>
      <c r="E770" s="1461"/>
      <c r="R770" s="1462"/>
      <c r="S770" s="1462"/>
      <c r="T770" s="1462"/>
      <c r="U770" s="1462"/>
      <c r="V770" s="1462"/>
      <c r="W770" s="1462"/>
      <c r="X770" s="1462"/>
      <c r="Y770" s="1462"/>
    </row>
    <row r="771" spans="1:25" x14ac:dyDescent="0.3">
      <c r="A771" s="2294"/>
      <c r="B771" s="2294"/>
      <c r="C771" s="2294"/>
      <c r="D771" s="2294"/>
      <c r="E771" s="1461"/>
      <c r="R771" s="1462"/>
      <c r="S771" s="1462"/>
      <c r="T771" s="1462"/>
      <c r="U771" s="1462"/>
      <c r="V771" s="1462"/>
      <c r="W771" s="1462"/>
      <c r="X771" s="1462"/>
      <c r="Y771" s="1462"/>
    </row>
    <row r="772" spans="1:25" x14ac:dyDescent="0.3">
      <c r="A772" s="2294"/>
      <c r="B772" s="2294"/>
      <c r="C772" s="2294"/>
      <c r="D772" s="2294"/>
      <c r="E772" s="1461"/>
      <c r="R772" s="1462"/>
      <c r="S772" s="1462"/>
      <c r="T772" s="1462"/>
      <c r="U772" s="1462"/>
      <c r="V772" s="1462"/>
      <c r="W772" s="1462"/>
      <c r="X772" s="1462"/>
      <c r="Y772" s="1462"/>
    </row>
    <row r="773" spans="1:25" x14ac:dyDescent="0.3">
      <c r="A773" s="2294"/>
      <c r="B773" s="2294"/>
      <c r="C773" s="2294"/>
      <c r="D773" s="2294"/>
      <c r="E773" s="1461"/>
      <c r="R773" s="1462"/>
      <c r="S773" s="1462"/>
      <c r="T773" s="1462"/>
      <c r="U773" s="1462"/>
      <c r="V773" s="1462"/>
      <c r="W773" s="1462"/>
      <c r="X773" s="1462"/>
      <c r="Y773" s="1462"/>
    </row>
    <row r="774" spans="1:25" x14ac:dyDescent="0.3">
      <c r="A774" s="2294"/>
      <c r="B774" s="2294"/>
      <c r="C774" s="2294"/>
      <c r="D774" s="2294"/>
      <c r="E774" s="1461"/>
      <c r="R774" s="1462"/>
      <c r="S774" s="1462"/>
      <c r="T774" s="1462"/>
      <c r="U774" s="1462"/>
      <c r="V774" s="1462"/>
      <c r="W774" s="1462"/>
      <c r="X774" s="1462"/>
      <c r="Y774" s="1462"/>
    </row>
    <row r="775" spans="1:25" x14ac:dyDescent="0.3">
      <c r="A775" s="2294"/>
      <c r="B775" s="2294"/>
      <c r="C775" s="2294"/>
      <c r="D775" s="2294"/>
      <c r="E775" s="1461"/>
      <c r="R775" s="1462"/>
      <c r="S775" s="1462"/>
      <c r="T775" s="1462"/>
      <c r="U775" s="1462"/>
      <c r="V775" s="1462"/>
      <c r="W775" s="1462"/>
      <c r="X775" s="1462"/>
      <c r="Y775" s="1462"/>
    </row>
    <row r="776" spans="1:25" x14ac:dyDescent="0.3">
      <c r="A776" s="2294"/>
      <c r="B776" s="2294"/>
      <c r="C776" s="2294"/>
      <c r="D776" s="2294"/>
      <c r="E776" s="1461"/>
      <c r="R776" s="1462"/>
      <c r="S776" s="1462"/>
      <c r="T776" s="1462"/>
      <c r="U776" s="1462"/>
      <c r="V776" s="1462"/>
      <c r="W776" s="1462"/>
      <c r="X776" s="1462"/>
      <c r="Y776" s="1462"/>
    </row>
    <row r="777" spans="1:25" x14ac:dyDescent="0.3">
      <c r="A777" s="2294"/>
      <c r="B777" s="2294"/>
      <c r="C777" s="2294"/>
      <c r="D777" s="2294"/>
      <c r="E777" s="1461"/>
      <c r="R777" s="1462"/>
      <c r="S777" s="1462"/>
      <c r="T777" s="1462"/>
      <c r="U777" s="1462"/>
      <c r="V777" s="1462"/>
      <c r="W777" s="1462"/>
      <c r="X777" s="1462"/>
      <c r="Y777" s="1462"/>
    </row>
    <row r="778" spans="1:25" x14ac:dyDescent="0.3">
      <c r="A778" s="2294"/>
      <c r="B778" s="2294"/>
      <c r="C778" s="2294"/>
      <c r="D778" s="2294"/>
      <c r="E778" s="1461"/>
      <c r="R778" s="1462"/>
      <c r="S778" s="1462"/>
      <c r="T778" s="1462"/>
      <c r="U778" s="1462"/>
      <c r="V778" s="1462"/>
      <c r="W778" s="1462"/>
      <c r="X778" s="1462"/>
      <c r="Y778" s="1462"/>
    </row>
    <row r="779" spans="1:25" x14ac:dyDescent="0.3">
      <c r="A779" s="2294"/>
      <c r="B779" s="2294"/>
      <c r="C779" s="2294"/>
      <c r="D779" s="2294"/>
      <c r="E779" s="1461"/>
      <c r="R779" s="1462"/>
      <c r="S779" s="1462"/>
      <c r="T779" s="1462"/>
      <c r="U779" s="1462"/>
      <c r="V779" s="1462"/>
      <c r="W779" s="1462"/>
      <c r="X779" s="1462"/>
      <c r="Y779" s="1462"/>
    </row>
    <row r="780" spans="1:25" x14ac:dyDescent="0.3">
      <c r="A780" s="2294"/>
      <c r="B780" s="2294"/>
      <c r="C780" s="2294"/>
      <c r="D780" s="2294"/>
      <c r="E780" s="1461"/>
      <c r="R780" s="1462"/>
      <c r="S780" s="1462"/>
      <c r="T780" s="1462"/>
      <c r="U780" s="1462"/>
      <c r="V780" s="1462"/>
      <c r="W780" s="1462"/>
      <c r="X780" s="1462"/>
      <c r="Y780" s="1462"/>
    </row>
    <row r="781" spans="1:25" x14ac:dyDescent="0.3">
      <c r="A781" s="2294"/>
      <c r="B781" s="2294"/>
      <c r="C781" s="2294"/>
      <c r="D781" s="2294"/>
      <c r="E781" s="1461"/>
      <c r="R781" s="1462"/>
      <c r="S781" s="1462"/>
      <c r="T781" s="1462"/>
      <c r="U781" s="1462"/>
      <c r="V781" s="1462"/>
      <c r="W781" s="1462"/>
      <c r="X781" s="1462"/>
      <c r="Y781" s="1462"/>
    </row>
    <row r="782" spans="1:25" x14ac:dyDescent="0.3">
      <c r="A782" s="2294"/>
      <c r="B782" s="2294"/>
      <c r="C782" s="2294"/>
      <c r="D782" s="2294"/>
      <c r="E782" s="1461"/>
      <c r="R782" s="1462"/>
      <c r="S782" s="1462"/>
      <c r="T782" s="1462"/>
      <c r="U782" s="1462"/>
      <c r="V782" s="1462"/>
      <c r="W782" s="1462"/>
      <c r="X782" s="1462"/>
      <c r="Y782" s="1462"/>
    </row>
    <row r="783" spans="1:25" x14ac:dyDescent="0.3">
      <c r="A783" s="2294"/>
      <c r="B783" s="2294"/>
      <c r="C783" s="2294"/>
      <c r="D783" s="2294"/>
      <c r="E783" s="1461"/>
      <c r="R783" s="1462"/>
      <c r="S783" s="1462"/>
      <c r="T783" s="1462"/>
      <c r="U783" s="1462"/>
      <c r="V783" s="1462"/>
      <c r="W783" s="1462"/>
      <c r="X783" s="1462"/>
      <c r="Y783" s="1462"/>
    </row>
    <row r="784" spans="1:25" x14ac:dyDescent="0.3">
      <c r="A784" s="2294"/>
      <c r="B784" s="2294"/>
      <c r="C784" s="2294"/>
      <c r="D784" s="2294"/>
      <c r="E784" s="1461"/>
      <c r="R784" s="1462"/>
      <c r="S784" s="1462"/>
      <c r="T784" s="1462"/>
      <c r="U784" s="1462"/>
      <c r="V784" s="1462"/>
      <c r="W784" s="1462"/>
      <c r="X784" s="1462"/>
      <c r="Y784" s="1462"/>
    </row>
    <row r="785" spans="1:25" x14ac:dyDescent="0.3">
      <c r="A785" s="2294"/>
      <c r="B785" s="2294"/>
      <c r="C785" s="2294"/>
      <c r="D785" s="2294"/>
      <c r="E785" s="1461"/>
      <c r="R785" s="1462"/>
      <c r="S785" s="1462"/>
      <c r="T785" s="1462"/>
      <c r="U785" s="1462"/>
      <c r="V785" s="1462"/>
      <c r="W785" s="1462"/>
      <c r="X785" s="1462"/>
      <c r="Y785" s="1462"/>
    </row>
    <row r="786" spans="1:25" x14ac:dyDescent="0.3">
      <c r="A786" s="2294"/>
      <c r="B786" s="2294"/>
      <c r="C786" s="2294"/>
      <c r="D786" s="2294"/>
      <c r="E786" s="1461"/>
      <c r="R786" s="1462"/>
      <c r="S786" s="1462"/>
      <c r="T786" s="1462"/>
      <c r="U786" s="1462"/>
      <c r="V786" s="1462"/>
      <c r="W786" s="1462"/>
      <c r="X786" s="1462"/>
      <c r="Y786" s="1462"/>
    </row>
    <row r="787" spans="1:25" x14ac:dyDescent="0.3">
      <c r="A787" s="2294"/>
      <c r="B787" s="2294"/>
      <c r="C787" s="2294"/>
      <c r="D787" s="2294"/>
      <c r="E787" s="1461"/>
      <c r="R787" s="1462"/>
      <c r="S787" s="1462"/>
      <c r="T787" s="1462"/>
      <c r="U787" s="1462"/>
      <c r="V787" s="1462"/>
      <c r="W787" s="1462"/>
      <c r="X787" s="1462"/>
      <c r="Y787" s="1462"/>
    </row>
    <row r="788" spans="1:25" x14ac:dyDescent="0.3">
      <c r="A788" s="2294"/>
      <c r="B788" s="2294"/>
      <c r="C788" s="2294"/>
      <c r="D788" s="2294"/>
      <c r="E788" s="1461"/>
      <c r="R788" s="1462"/>
      <c r="S788" s="1462"/>
      <c r="T788" s="1462"/>
      <c r="U788" s="1462"/>
      <c r="V788" s="1462"/>
      <c r="W788" s="1462"/>
      <c r="X788" s="1462"/>
      <c r="Y788" s="1462"/>
    </row>
    <row r="789" spans="1:25" x14ac:dyDescent="0.3">
      <c r="A789" s="2294"/>
      <c r="B789" s="2294"/>
      <c r="C789" s="2294"/>
      <c r="D789" s="2294"/>
      <c r="E789" s="1461"/>
      <c r="R789" s="1462"/>
      <c r="S789" s="1462"/>
      <c r="T789" s="1462"/>
      <c r="U789" s="1462"/>
      <c r="V789" s="1462"/>
      <c r="W789" s="1462"/>
      <c r="X789" s="1462"/>
      <c r="Y789" s="1462"/>
    </row>
    <row r="790" spans="1:25" x14ac:dyDescent="0.3">
      <c r="A790" s="2294"/>
      <c r="B790" s="2294"/>
      <c r="C790" s="2294"/>
      <c r="D790" s="2294"/>
      <c r="E790" s="1461"/>
      <c r="R790" s="1462"/>
      <c r="S790" s="1462"/>
      <c r="T790" s="1462"/>
      <c r="U790" s="1462"/>
      <c r="V790" s="1462"/>
      <c r="W790" s="1462"/>
      <c r="X790" s="1462"/>
      <c r="Y790" s="1462"/>
    </row>
    <row r="791" spans="1:25" x14ac:dyDescent="0.3">
      <c r="A791" s="2294"/>
      <c r="B791" s="2294"/>
      <c r="C791" s="2294"/>
      <c r="D791" s="2294"/>
      <c r="E791" s="1461"/>
      <c r="R791" s="1462"/>
      <c r="S791" s="1462"/>
      <c r="T791" s="1462"/>
      <c r="U791" s="1462"/>
      <c r="V791" s="1462"/>
      <c r="W791" s="1462"/>
      <c r="X791" s="1462"/>
      <c r="Y791" s="1462"/>
    </row>
    <row r="792" spans="1:25" x14ac:dyDescent="0.3">
      <c r="A792" s="2294"/>
      <c r="B792" s="2294"/>
      <c r="C792" s="2294"/>
      <c r="D792" s="2294"/>
      <c r="E792" s="1461"/>
      <c r="R792" s="1462"/>
      <c r="S792" s="1462"/>
      <c r="T792" s="1462"/>
      <c r="U792" s="1462"/>
      <c r="V792" s="1462"/>
      <c r="W792" s="1462"/>
      <c r="X792" s="1462"/>
      <c r="Y792" s="1462"/>
    </row>
    <row r="793" spans="1:25" x14ac:dyDescent="0.3">
      <c r="A793" s="2294"/>
      <c r="B793" s="2294"/>
      <c r="C793" s="2294"/>
      <c r="D793" s="2294"/>
      <c r="E793" s="1461"/>
      <c r="R793" s="1462"/>
      <c r="S793" s="1462"/>
      <c r="T793" s="1462"/>
      <c r="U793" s="1462"/>
      <c r="V793" s="1462"/>
      <c r="W793" s="1462"/>
      <c r="X793" s="1462"/>
      <c r="Y793" s="1462"/>
    </row>
    <row r="794" spans="1:25" x14ac:dyDescent="0.3">
      <c r="A794" s="2294"/>
      <c r="B794" s="2294"/>
      <c r="C794" s="2294"/>
      <c r="D794" s="2294"/>
      <c r="E794" s="1461"/>
      <c r="R794" s="1462"/>
      <c r="S794" s="1462"/>
      <c r="T794" s="1462"/>
      <c r="U794" s="1462"/>
      <c r="V794" s="1462"/>
      <c r="W794" s="1462"/>
      <c r="X794" s="1462"/>
      <c r="Y794" s="1462"/>
    </row>
    <row r="795" spans="1:25" x14ac:dyDescent="0.3">
      <c r="A795" s="2294"/>
      <c r="B795" s="2294"/>
      <c r="C795" s="2294"/>
      <c r="D795" s="2294"/>
      <c r="E795" s="1461"/>
      <c r="R795" s="1462"/>
      <c r="S795" s="1462"/>
      <c r="T795" s="1462"/>
      <c r="U795" s="1462"/>
      <c r="V795" s="1462"/>
      <c r="W795" s="1462"/>
      <c r="X795" s="1462"/>
      <c r="Y795" s="1462"/>
    </row>
    <row r="796" spans="1:25" x14ac:dyDescent="0.3">
      <c r="A796" s="2294"/>
      <c r="B796" s="2294"/>
      <c r="C796" s="2294"/>
      <c r="D796" s="2294"/>
      <c r="E796" s="1461"/>
      <c r="R796" s="1462"/>
      <c r="S796" s="1462"/>
      <c r="T796" s="1462"/>
      <c r="U796" s="1462"/>
      <c r="V796" s="1462"/>
      <c r="W796" s="1462"/>
      <c r="X796" s="1462"/>
      <c r="Y796" s="1462"/>
    </row>
    <row r="797" spans="1:25" x14ac:dyDescent="0.3">
      <c r="A797" s="2294"/>
      <c r="B797" s="2294"/>
      <c r="C797" s="2294"/>
      <c r="D797" s="2294"/>
      <c r="E797" s="1461"/>
      <c r="R797" s="1462"/>
      <c r="S797" s="1462"/>
      <c r="T797" s="1462"/>
      <c r="U797" s="1462"/>
      <c r="V797" s="1462"/>
      <c r="W797" s="1462"/>
      <c r="X797" s="1462"/>
      <c r="Y797" s="1462"/>
    </row>
    <row r="798" spans="1:25" x14ac:dyDescent="0.3">
      <c r="A798" s="2294"/>
      <c r="B798" s="2294"/>
      <c r="C798" s="2294"/>
      <c r="D798" s="2294"/>
      <c r="E798" s="1461"/>
      <c r="R798" s="1462"/>
      <c r="S798" s="1462"/>
      <c r="T798" s="1462"/>
      <c r="U798" s="1462"/>
      <c r="V798" s="1462"/>
      <c r="W798" s="1462"/>
      <c r="X798" s="1462"/>
      <c r="Y798" s="1462"/>
    </row>
    <row r="799" spans="1:25" x14ac:dyDescent="0.3">
      <c r="A799" s="2294"/>
      <c r="B799" s="2294"/>
      <c r="C799" s="2294"/>
      <c r="D799" s="2294"/>
      <c r="E799" s="1461"/>
      <c r="R799" s="1462"/>
      <c r="S799" s="1462"/>
      <c r="T799" s="1462"/>
      <c r="U799" s="1462"/>
      <c r="V799" s="1462"/>
      <c r="W799" s="1462"/>
      <c r="X799" s="1462"/>
      <c r="Y799" s="1462"/>
    </row>
    <row r="800" spans="1:25" x14ac:dyDescent="0.3">
      <c r="A800" s="2294"/>
      <c r="B800" s="2294"/>
      <c r="C800" s="2294"/>
      <c r="D800" s="2294"/>
      <c r="E800" s="1461"/>
      <c r="R800" s="1462"/>
      <c r="S800" s="1462"/>
      <c r="T800" s="1462"/>
      <c r="U800" s="1462"/>
      <c r="V800" s="1462"/>
      <c r="W800" s="1462"/>
      <c r="X800" s="1462"/>
      <c r="Y800" s="1462"/>
    </row>
    <row r="801" spans="1:25" x14ac:dyDescent="0.3">
      <c r="A801" s="2294"/>
      <c r="B801" s="2294"/>
      <c r="C801" s="2294"/>
      <c r="D801" s="2294"/>
      <c r="E801" s="1461"/>
      <c r="R801" s="1462"/>
      <c r="S801" s="1462"/>
      <c r="T801" s="1462"/>
      <c r="U801" s="1462"/>
      <c r="V801" s="1462"/>
      <c r="W801" s="1462"/>
      <c r="X801" s="1462"/>
      <c r="Y801" s="1462"/>
    </row>
    <row r="802" spans="1:25" x14ac:dyDescent="0.3">
      <c r="A802" s="2294"/>
      <c r="B802" s="2294"/>
      <c r="C802" s="2294"/>
      <c r="D802" s="2294"/>
      <c r="E802" s="1461"/>
      <c r="R802" s="1462"/>
      <c r="S802" s="1462"/>
      <c r="T802" s="1462"/>
      <c r="U802" s="1462"/>
      <c r="V802" s="1462"/>
      <c r="W802" s="1462"/>
      <c r="X802" s="1462"/>
      <c r="Y802" s="1462"/>
    </row>
    <row r="803" spans="1:25" x14ac:dyDescent="0.3">
      <c r="A803" s="2294"/>
      <c r="B803" s="2294"/>
      <c r="C803" s="2294"/>
      <c r="D803" s="2294"/>
      <c r="E803" s="1461"/>
      <c r="R803" s="1462"/>
      <c r="S803" s="1462"/>
      <c r="T803" s="1462"/>
      <c r="U803" s="1462"/>
      <c r="V803" s="1462"/>
      <c r="W803" s="1462"/>
      <c r="X803" s="1462"/>
      <c r="Y803" s="1462"/>
    </row>
    <row r="804" spans="1:25" x14ac:dyDescent="0.3">
      <c r="A804" s="2294"/>
      <c r="B804" s="2294"/>
      <c r="C804" s="2294"/>
      <c r="D804" s="2294"/>
      <c r="E804" s="1461"/>
      <c r="R804" s="1462"/>
      <c r="S804" s="1462"/>
      <c r="T804" s="1462"/>
      <c r="U804" s="1462"/>
      <c r="V804" s="1462"/>
      <c r="W804" s="1462"/>
      <c r="X804" s="1462"/>
      <c r="Y804" s="1462"/>
    </row>
    <row r="805" spans="1:25" x14ac:dyDescent="0.3">
      <c r="A805" s="2294"/>
      <c r="B805" s="2294"/>
      <c r="C805" s="2294"/>
      <c r="D805" s="2294"/>
      <c r="E805" s="1461"/>
      <c r="R805" s="1462"/>
      <c r="S805" s="1462"/>
      <c r="T805" s="1462"/>
      <c r="U805" s="1462"/>
      <c r="V805" s="1462"/>
      <c r="W805" s="1462"/>
      <c r="X805" s="1462"/>
      <c r="Y805" s="1462"/>
    </row>
    <row r="806" spans="1:25" x14ac:dyDescent="0.3">
      <c r="A806" s="2294"/>
      <c r="B806" s="2294"/>
      <c r="C806" s="2294"/>
      <c r="D806" s="2294"/>
      <c r="E806" s="1461"/>
      <c r="R806" s="1462"/>
      <c r="S806" s="1462"/>
      <c r="T806" s="1462"/>
      <c r="U806" s="1462"/>
      <c r="V806" s="1462"/>
      <c r="W806" s="1462"/>
      <c r="X806" s="1462"/>
      <c r="Y806" s="1462"/>
    </row>
    <row r="807" spans="1:25" x14ac:dyDescent="0.3">
      <c r="A807" s="2294"/>
      <c r="B807" s="2294"/>
      <c r="C807" s="2294"/>
      <c r="D807" s="2294"/>
      <c r="E807" s="1461"/>
      <c r="R807" s="1462"/>
      <c r="S807" s="1462"/>
      <c r="T807" s="1462"/>
      <c r="U807" s="1462"/>
      <c r="V807" s="1462"/>
      <c r="W807" s="1462"/>
      <c r="X807" s="1462"/>
      <c r="Y807" s="1462"/>
    </row>
    <row r="808" spans="1:25" x14ac:dyDescent="0.3">
      <c r="A808" s="2294"/>
      <c r="B808" s="2294"/>
      <c r="C808" s="2294"/>
      <c r="D808" s="2294"/>
      <c r="E808" s="1461"/>
      <c r="R808" s="1462"/>
      <c r="S808" s="1462"/>
      <c r="T808" s="1462"/>
      <c r="U808" s="1462"/>
      <c r="V808" s="1462"/>
      <c r="W808" s="1462"/>
      <c r="X808" s="1462"/>
      <c r="Y808" s="1462"/>
    </row>
    <row r="809" spans="1:25" x14ac:dyDescent="0.3">
      <c r="A809" s="2294"/>
      <c r="B809" s="2294"/>
      <c r="C809" s="2294"/>
      <c r="D809" s="2294"/>
      <c r="E809" s="1461"/>
      <c r="R809" s="1462"/>
      <c r="S809" s="1462"/>
      <c r="T809" s="1462"/>
      <c r="U809" s="1462"/>
      <c r="V809" s="1462"/>
      <c r="W809" s="1462"/>
      <c r="X809" s="1462"/>
      <c r="Y809" s="1462"/>
    </row>
    <row r="810" spans="1:25" x14ac:dyDescent="0.3">
      <c r="A810" s="2294"/>
      <c r="B810" s="2294"/>
      <c r="C810" s="2294"/>
      <c r="D810" s="2294"/>
      <c r="E810" s="1461"/>
      <c r="R810" s="1462"/>
      <c r="S810" s="1462"/>
      <c r="T810" s="1462"/>
      <c r="U810" s="1462"/>
      <c r="V810" s="1462"/>
      <c r="W810" s="1462"/>
      <c r="X810" s="1462"/>
      <c r="Y810" s="1462"/>
    </row>
    <row r="811" spans="1:25" x14ac:dyDescent="0.3">
      <c r="A811" s="2294"/>
      <c r="B811" s="2294"/>
      <c r="C811" s="2294"/>
      <c r="D811" s="2294"/>
      <c r="E811" s="1461"/>
      <c r="R811" s="1462"/>
      <c r="S811" s="1462"/>
      <c r="T811" s="1462"/>
      <c r="U811" s="1462"/>
      <c r="V811" s="1462"/>
      <c r="W811" s="1462"/>
      <c r="X811" s="1462"/>
      <c r="Y811" s="1462"/>
    </row>
    <row r="812" spans="1:25" x14ac:dyDescent="0.3">
      <c r="A812" s="2294"/>
      <c r="B812" s="2294"/>
      <c r="C812" s="2294"/>
      <c r="D812" s="2294"/>
      <c r="E812" s="1461"/>
      <c r="R812" s="1462"/>
      <c r="S812" s="1462"/>
      <c r="T812" s="1462"/>
      <c r="U812" s="1462"/>
      <c r="V812" s="1462"/>
      <c r="W812" s="1462"/>
      <c r="X812" s="1462"/>
      <c r="Y812" s="1462"/>
    </row>
    <row r="813" spans="1:25" x14ac:dyDescent="0.3">
      <c r="A813" s="2294"/>
      <c r="B813" s="2294"/>
      <c r="C813" s="2294"/>
      <c r="D813" s="2294"/>
      <c r="E813" s="1461"/>
      <c r="R813" s="1462"/>
      <c r="S813" s="1462"/>
      <c r="T813" s="1462"/>
      <c r="U813" s="1462"/>
      <c r="V813" s="1462"/>
      <c r="W813" s="1462"/>
      <c r="X813" s="1462"/>
      <c r="Y813" s="1462"/>
    </row>
    <row r="814" spans="1:25" x14ac:dyDescent="0.3">
      <c r="A814" s="2294"/>
      <c r="B814" s="2294"/>
      <c r="C814" s="2294"/>
      <c r="D814" s="2294"/>
      <c r="E814" s="1461"/>
      <c r="R814" s="1462"/>
      <c r="S814" s="1462"/>
      <c r="T814" s="1462"/>
      <c r="U814" s="1462"/>
      <c r="V814" s="1462"/>
      <c r="W814" s="1462"/>
      <c r="X814" s="1462"/>
      <c r="Y814" s="1462"/>
    </row>
    <row r="815" spans="1:25" x14ac:dyDescent="0.3">
      <c r="A815" s="2294"/>
      <c r="B815" s="2294"/>
      <c r="C815" s="2294"/>
      <c r="D815" s="2294"/>
      <c r="E815" s="1461"/>
      <c r="R815" s="1462"/>
      <c r="S815" s="1462"/>
      <c r="T815" s="1462"/>
      <c r="U815" s="1462"/>
      <c r="V815" s="1462"/>
      <c r="W815" s="1462"/>
      <c r="X815" s="1462"/>
      <c r="Y815" s="1462"/>
    </row>
    <row r="816" spans="1:25" x14ac:dyDescent="0.3">
      <c r="A816" s="2294"/>
      <c r="B816" s="2294"/>
      <c r="C816" s="2294"/>
      <c r="D816" s="2294"/>
      <c r="E816" s="1461"/>
      <c r="R816" s="1462"/>
      <c r="S816" s="1462"/>
      <c r="T816" s="1462"/>
      <c r="U816" s="1462"/>
      <c r="V816" s="1462"/>
      <c r="W816" s="1462"/>
      <c r="X816" s="1462"/>
      <c r="Y816" s="1462"/>
    </row>
    <row r="817" spans="1:25" x14ac:dyDescent="0.3">
      <c r="A817" s="2294"/>
      <c r="B817" s="2294"/>
      <c r="C817" s="2294"/>
      <c r="D817" s="2294"/>
      <c r="E817" s="1461"/>
      <c r="R817" s="1462"/>
      <c r="S817" s="1462"/>
      <c r="T817" s="1462"/>
      <c r="U817" s="1462"/>
      <c r="V817" s="1462"/>
      <c r="W817" s="1462"/>
      <c r="X817" s="1462"/>
      <c r="Y817" s="1462"/>
    </row>
    <row r="818" spans="1:25" x14ac:dyDescent="0.3">
      <c r="A818" s="2294"/>
      <c r="B818" s="2294"/>
      <c r="C818" s="2294"/>
      <c r="D818" s="2294"/>
      <c r="E818" s="1461"/>
      <c r="R818" s="1462"/>
      <c r="S818" s="1462"/>
      <c r="T818" s="1462"/>
      <c r="U818" s="1462"/>
      <c r="V818" s="1462"/>
      <c r="W818" s="1462"/>
      <c r="X818" s="1462"/>
      <c r="Y818" s="1462"/>
    </row>
    <row r="819" spans="1:25" x14ac:dyDescent="0.3">
      <c r="A819" s="2294"/>
      <c r="B819" s="2294"/>
      <c r="C819" s="2294"/>
      <c r="D819" s="2294"/>
      <c r="E819" s="1461"/>
      <c r="R819" s="1462"/>
      <c r="S819" s="1462"/>
      <c r="T819" s="1462"/>
      <c r="U819" s="1462"/>
      <c r="V819" s="1462"/>
      <c r="W819" s="1462"/>
      <c r="X819" s="1462"/>
      <c r="Y819" s="1462"/>
    </row>
    <row r="820" spans="1:25" x14ac:dyDescent="0.3">
      <c r="A820" s="2294"/>
      <c r="B820" s="2294"/>
      <c r="C820" s="2294"/>
      <c r="D820" s="2294"/>
      <c r="E820" s="1461"/>
      <c r="R820" s="1462"/>
      <c r="S820" s="1462"/>
      <c r="T820" s="1462"/>
      <c r="U820" s="1462"/>
      <c r="V820" s="1462"/>
      <c r="W820" s="1462"/>
      <c r="X820" s="1462"/>
      <c r="Y820" s="1462"/>
    </row>
    <row r="821" spans="1:25" x14ac:dyDescent="0.3">
      <c r="A821" s="2294"/>
      <c r="B821" s="2294"/>
      <c r="C821" s="2294"/>
      <c r="D821" s="2294"/>
      <c r="E821" s="1461"/>
      <c r="R821" s="1462"/>
      <c r="S821" s="1462"/>
      <c r="T821" s="1462"/>
      <c r="U821" s="1462"/>
      <c r="V821" s="1462"/>
      <c r="W821" s="1462"/>
      <c r="X821" s="1462"/>
      <c r="Y821" s="1462"/>
    </row>
    <row r="822" spans="1:25" x14ac:dyDescent="0.3">
      <c r="A822" s="2294"/>
      <c r="B822" s="2294"/>
      <c r="C822" s="2294"/>
      <c r="D822" s="2294"/>
      <c r="E822" s="1461"/>
      <c r="R822" s="1462"/>
      <c r="S822" s="1462"/>
      <c r="T822" s="1462"/>
      <c r="U822" s="1462"/>
      <c r="V822" s="1462"/>
      <c r="W822" s="1462"/>
      <c r="X822" s="1462"/>
      <c r="Y822" s="1462"/>
    </row>
    <row r="823" spans="1:25" x14ac:dyDescent="0.3">
      <c r="A823" s="2294"/>
      <c r="B823" s="2294"/>
      <c r="C823" s="2294"/>
      <c r="D823" s="2294"/>
      <c r="E823" s="1461"/>
      <c r="R823" s="1462"/>
      <c r="S823" s="1462"/>
      <c r="T823" s="1462"/>
      <c r="U823" s="1462"/>
      <c r="V823" s="1462"/>
      <c r="W823" s="1462"/>
      <c r="X823" s="1462"/>
      <c r="Y823" s="1462"/>
    </row>
    <row r="824" spans="1:25" x14ac:dyDescent="0.3">
      <c r="A824" s="2294"/>
      <c r="B824" s="2294"/>
      <c r="C824" s="2294"/>
      <c r="D824" s="2294"/>
      <c r="E824" s="1461"/>
      <c r="R824" s="1462"/>
      <c r="S824" s="1462"/>
      <c r="T824" s="1462"/>
      <c r="U824" s="1462"/>
      <c r="V824" s="1462"/>
      <c r="W824" s="1462"/>
      <c r="X824" s="1462"/>
      <c r="Y824" s="1462"/>
    </row>
    <row r="825" spans="1:25" x14ac:dyDescent="0.3">
      <c r="A825" s="2294"/>
      <c r="B825" s="2294"/>
      <c r="C825" s="2294"/>
      <c r="D825" s="2294"/>
      <c r="E825" s="1461"/>
      <c r="R825" s="1462"/>
      <c r="S825" s="1462"/>
      <c r="T825" s="1462"/>
      <c r="U825" s="1462"/>
      <c r="V825" s="1462"/>
      <c r="W825" s="1462"/>
      <c r="X825" s="1462"/>
      <c r="Y825" s="1462"/>
    </row>
    <row r="826" spans="1:25" x14ac:dyDescent="0.3">
      <c r="A826" s="2294"/>
      <c r="B826" s="2294"/>
      <c r="C826" s="2294"/>
      <c r="D826" s="2294"/>
      <c r="E826" s="1461"/>
      <c r="R826" s="1462"/>
      <c r="S826" s="1462"/>
      <c r="T826" s="1462"/>
      <c r="U826" s="1462"/>
      <c r="V826" s="1462"/>
      <c r="W826" s="1462"/>
      <c r="X826" s="1462"/>
      <c r="Y826" s="1462"/>
    </row>
    <row r="827" spans="1:25" x14ac:dyDescent="0.3">
      <c r="A827" s="2294"/>
      <c r="B827" s="2294"/>
      <c r="C827" s="2294"/>
      <c r="D827" s="2294"/>
      <c r="E827" s="1461"/>
      <c r="R827" s="1462"/>
      <c r="S827" s="1462"/>
      <c r="T827" s="1462"/>
      <c r="U827" s="1462"/>
      <c r="V827" s="1462"/>
      <c r="W827" s="1462"/>
      <c r="X827" s="1462"/>
      <c r="Y827" s="1462"/>
    </row>
    <row r="828" spans="1:25" x14ac:dyDescent="0.3">
      <c r="A828" s="2294"/>
      <c r="B828" s="2294"/>
      <c r="C828" s="2294"/>
      <c r="D828" s="2294"/>
      <c r="E828" s="1461"/>
      <c r="R828" s="1462"/>
      <c r="S828" s="1462"/>
      <c r="T828" s="1462"/>
      <c r="U828" s="1462"/>
      <c r="V828" s="1462"/>
      <c r="W828" s="1462"/>
      <c r="X828" s="1462"/>
      <c r="Y828" s="1462"/>
    </row>
    <row r="829" spans="1:25" x14ac:dyDescent="0.3">
      <c r="A829" s="2294"/>
      <c r="B829" s="2294"/>
      <c r="C829" s="2294"/>
      <c r="D829" s="2294"/>
      <c r="E829" s="1461"/>
      <c r="R829" s="1462"/>
      <c r="S829" s="1462"/>
      <c r="T829" s="1462"/>
      <c r="U829" s="1462"/>
      <c r="V829" s="1462"/>
      <c r="W829" s="1462"/>
      <c r="X829" s="1462"/>
      <c r="Y829" s="1462"/>
    </row>
    <row r="830" spans="1:25" x14ac:dyDescent="0.3">
      <c r="A830" s="2294"/>
      <c r="B830" s="2294"/>
      <c r="C830" s="2294"/>
      <c r="D830" s="2294"/>
      <c r="E830" s="1461"/>
      <c r="R830" s="1462"/>
      <c r="S830" s="1462"/>
      <c r="T830" s="1462"/>
      <c r="U830" s="1462"/>
      <c r="V830" s="1462"/>
      <c r="W830" s="1462"/>
      <c r="X830" s="1462"/>
      <c r="Y830" s="1462"/>
    </row>
    <row r="831" spans="1:25" x14ac:dyDescent="0.3">
      <c r="A831" s="2294"/>
      <c r="B831" s="2294"/>
      <c r="C831" s="2294"/>
      <c r="D831" s="2294"/>
      <c r="E831" s="1461"/>
      <c r="R831" s="1462"/>
      <c r="S831" s="1462"/>
      <c r="T831" s="1462"/>
      <c r="U831" s="1462"/>
      <c r="V831" s="1462"/>
      <c r="W831" s="1462"/>
      <c r="X831" s="1462"/>
      <c r="Y831" s="1462"/>
    </row>
    <row r="832" spans="1:25" x14ac:dyDescent="0.3">
      <c r="A832" s="2294"/>
      <c r="B832" s="2294"/>
      <c r="C832" s="2294"/>
      <c r="D832" s="2294"/>
      <c r="E832" s="1461"/>
      <c r="R832" s="1462"/>
      <c r="S832" s="1462"/>
      <c r="T832" s="1462"/>
      <c r="U832" s="1462"/>
      <c r="V832" s="1462"/>
      <c r="W832" s="1462"/>
      <c r="X832" s="1462"/>
      <c r="Y832" s="1462"/>
    </row>
    <row r="833" spans="1:25" x14ac:dyDescent="0.3">
      <c r="A833" s="2294"/>
      <c r="B833" s="2294"/>
      <c r="C833" s="2294"/>
      <c r="D833" s="2294"/>
      <c r="E833" s="1461"/>
      <c r="R833" s="1462"/>
      <c r="S833" s="1462"/>
      <c r="T833" s="1462"/>
      <c r="U833" s="1462"/>
      <c r="V833" s="1462"/>
      <c r="W833" s="1462"/>
      <c r="X833" s="1462"/>
      <c r="Y833" s="1462"/>
    </row>
    <row r="834" spans="1:25" x14ac:dyDescent="0.3">
      <c r="A834" s="2294"/>
      <c r="B834" s="2294"/>
      <c r="C834" s="2294"/>
      <c r="D834" s="2294"/>
      <c r="E834" s="1461"/>
      <c r="R834" s="1462"/>
      <c r="S834" s="1462"/>
      <c r="T834" s="1462"/>
      <c r="U834" s="1462"/>
      <c r="V834" s="1462"/>
      <c r="W834" s="1462"/>
      <c r="X834" s="1462"/>
      <c r="Y834" s="1462"/>
    </row>
    <row r="835" spans="1:25" x14ac:dyDescent="0.3">
      <c r="A835" s="2294"/>
      <c r="B835" s="2294"/>
      <c r="C835" s="2294"/>
      <c r="D835" s="2294"/>
      <c r="E835" s="1461"/>
      <c r="R835" s="1462"/>
      <c r="S835" s="1462"/>
      <c r="T835" s="1462"/>
      <c r="U835" s="1462"/>
      <c r="V835" s="1462"/>
      <c r="W835" s="1462"/>
      <c r="X835" s="1462"/>
      <c r="Y835" s="1462"/>
    </row>
    <row r="836" spans="1:25" x14ac:dyDescent="0.3">
      <c r="A836" s="2294"/>
      <c r="B836" s="2294"/>
      <c r="C836" s="2294"/>
      <c r="D836" s="2294"/>
      <c r="E836" s="1461"/>
      <c r="R836" s="1462"/>
      <c r="S836" s="1462"/>
      <c r="T836" s="1462"/>
      <c r="U836" s="1462"/>
      <c r="V836" s="1462"/>
      <c r="W836" s="1462"/>
      <c r="X836" s="1462"/>
      <c r="Y836" s="1462"/>
    </row>
    <row r="837" spans="1:25" x14ac:dyDescent="0.3">
      <c r="A837" s="2294"/>
      <c r="B837" s="2294"/>
      <c r="C837" s="2294"/>
      <c r="D837" s="2294"/>
      <c r="E837" s="1461"/>
      <c r="R837" s="1462"/>
      <c r="S837" s="1462"/>
      <c r="T837" s="1462"/>
      <c r="U837" s="1462"/>
      <c r="V837" s="1462"/>
      <c r="W837" s="1462"/>
      <c r="X837" s="1462"/>
      <c r="Y837" s="1462"/>
    </row>
    <row r="838" spans="1:25" x14ac:dyDescent="0.3">
      <c r="A838" s="2294"/>
      <c r="B838" s="2294"/>
      <c r="C838" s="2294"/>
      <c r="D838" s="2294"/>
      <c r="E838" s="1461"/>
      <c r="R838" s="1462"/>
      <c r="S838" s="1462"/>
      <c r="T838" s="1462"/>
      <c r="U838" s="1462"/>
      <c r="V838" s="1462"/>
      <c r="W838" s="1462"/>
      <c r="X838" s="1462"/>
      <c r="Y838" s="1462"/>
    </row>
    <row r="839" spans="1:25" x14ac:dyDescent="0.3">
      <c r="A839" s="2294"/>
      <c r="B839" s="2294"/>
      <c r="C839" s="2294"/>
      <c r="D839" s="2294"/>
      <c r="E839" s="1461"/>
      <c r="R839" s="1462"/>
      <c r="S839" s="1462"/>
      <c r="T839" s="1462"/>
      <c r="U839" s="1462"/>
      <c r="V839" s="1462"/>
      <c r="W839" s="1462"/>
      <c r="X839" s="1462"/>
      <c r="Y839" s="1462"/>
    </row>
    <row r="840" spans="1:25" x14ac:dyDescent="0.3">
      <c r="A840" s="2294"/>
      <c r="B840" s="2294"/>
      <c r="C840" s="2294"/>
      <c r="D840" s="2294"/>
      <c r="E840" s="1461"/>
      <c r="R840" s="1462"/>
      <c r="S840" s="1462"/>
      <c r="T840" s="1462"/>
      <c r="U840" s="1462"/>
      <c r="V840" s="1462"/>
      <c r="W840" s="1462"/>
      <c r="X840" s="1462"/>
      <c r="Y840" s="1462"/>
    </row>
    <row r="841" spans="1:25" x14ac:dyDescent="0.3">
      <c r="A841" s="2294"/>
      <c r="B841" s="2294"/>
      <c r="C841" s="2294"/>
      <c r="D841" s="2294"/>
      <c r="E841" s="1461"/>
      <c r="R841" s="1462"/>
      <c r="S841" s="1462"/>
      <c r="T841" s="1462"/>
      <c r="U841" s="1462"/>
      <c r="V841" s="1462"/>
      <c r="W841" s="1462"/>
      <c r="X841" s="1462"/>
      <c r="Y841" s="1462"/>
    </row>
    <row r="842" spans="1:25" x14ac:dyDescent="0.3">
      <c r="A842" s="2294"/>
      <c r="B842" s="2294"/>
      <c r="C842" s="2294"/>
      <c r="D842" s="2294"/>
      <c r="E842" s="1461"/>
      <c r="R842" s="1462"/>
      <c r="S842" s="1462"/>
      <c r="T842" s="1462"/>
      <c r="U842" s="1462"/>
      <c r="V842" s="1462"/>
      <c r="W842" s="1462"/>
      <c r="X842" s="1462"/>
      <c r="Y842" s="1462"/>
    </row>
    <row r="843" spans="1:25" x14ac:dyDescent="0.3">
      <c r="A843" s="2294"/>
      <c r="B843" s="2294"/>
      <c r="C843" s="2294"/>
      <c r="D843" s="2294"/>
      <c r="E843" s="1461"/>
      <c r="R843" s="1462"/>
      <c r="S843" s="1462"/>
      <c r="T843" s="1462"/>
      <c r="U843" s="1462"/>
      <c r="V843" s="1462"/>
      <c r="W843" s="1462"/>
      <c r="X843" s="1462"/>
      <c r="Y843" s="1462"/>
    </row>
    <row r="844" spans="1:25" x14ac:dyDescent="0.3">
      <c r="A844" s="2294"/>
      <c r="B844" s="2294"/>
      <c r="C844" s="2294"/>
      <c r="D844" s="2294"/>
      <c r="E844" s="1461"/>
      <c r="R844" s="1462"/>
      <c r="S844" s="1462"/>
      <c r="T844" s="1462"/>
      <c r="U844" s="1462"/>
      <c r="V844" s="1462"/>
      <c r="W844" s="1462"/>
      <c r="X844" s="1462"/>
      <c r="Y844" s="1462"/>
    </row>
    <row r="845" spans="1:25" x14ac:dyDescent="0.3">
      <c r="A845" s="2294"/>
      <c r="B845" s="2294"/>
      <c r="C845" s="2294"/>
      <c r="D845" s="2294"/>
      <c r="E845" s="1461"/>
      <c r="R845" s="1462"/>
      <c r="S845" s="1462"/>
      <c r="T845" s="1462"/>
      <c r="U845" s="1462"/>
      <c r="V845" s="1462"/>
      <c r="W845" s="1462"/>
      <c r="X845" s="1462"/>
      <c r="Y845" s="1462"/>
    </row>
    <row r="846" spans="1:25" x14ac:dyDescent="0.3">
      <c r="A846" s="2294"/>
      <c r="B846" s="2294"/>
      <c r="C846" s="2294"/>
      <c r="D846" s="2294"/>
      <c r="E846" s="1461"/>
      <c r="R846" s="1462"/>
      <c r="S846" s="1462"/>
      <c r="T846" s="1462"/>
      <c r="U846" s="1462"/>
      <c r="V846" s="1462"/>
      <c r="W846" s="1462"/>
      <c r="X846" s="1462"/>
      <c r="Y846" s="1462"/>
    </row>
    <row r="847" spans="1:25" x14ac:dyDescent="0.3">
      <c r="A847" s="2294"/>
      <c r="B847" s="2294"/>
      <c r="C847" s="2294"/>
      <c r="D847" s="2294"/>
      <c r="E847" s="1461"/>
      <c r="R847" s="1462"/>
      <c r="S847" s="1462"/>
      <c r="T847" s="1462"/>
      <c r="U847" s="1462"/>
      <c r="V847" s="1462"/>
      <c r="W847" s="1462"/>
      <c r="X847" s="1462"/>
      <c r="Y847" s="1462"/>
    </row>
    <row r="848" spans="1:25" x14ac:dyDescent="0.3">
      <c r="A848" s="2294"/>
      <c r="B848" s="2294"/>
      <c r="C848" s="2294"/>
      <c r="D848" s="2294"/>
      <c r="E848" s="1461"/>
      <c r="R848" s="1462"/>
      <c r="S848" s="1462"/>
      <c r="T848" s="1462"/>
      <c r="U848" s="1462"/>
      <c r="V848" s="1462"/>
      <c r="W848" s="1462"/>
      <c r="X848" s="1462"/>
      <c r="Y848" s="1462"/>
    </row>
    <row r="849" spans="1:25" x14ac:dyDescent="0.3">
      <c r="A849" s="2294"/>
      <c r="B849" s="2294"/>
      <c r="C849" s="2294"/>
      <c r="D849" s="2294"/>
      <c r="E849" s="1461"/>
      <c r="R849" s="1462"/>
      <c r="S849" s="1462"/>
      <c r="T849" s="1462"/>
      <c r="U849" s="1462"/>
      <c r="V849" s="1462"/>
      <c r="W849" s="1462"/>
      <c r="X849" s="1462"/>
      <c r="Y849" s="1462"/>
    </row>
    <row r="850" spans="1:25" x14ac:dyDescent="0.3">
      <c r="A850" s="2294"/>
      <c r="B850" s="2294"/>
      <c r="C850" s="2294"/>
      <c r="D850" s="2294"/>
      <c r="E850" s="1461"/>
      <c r="R850" s="1462"/>
      <c r="S850" s="1462"/>
      <c r="T850" s="1462"/>
      <c r="U850" s="1462"/>
      <c r="V850" s="1462"/>
      <c r="W850" s="1462"/>
      <c r="X850" s="1462"/>
      <c r="Y850" s="1462"/>
    </row>
    <row r="851" spans="1:25" x14ac:dyDescent="0.3">
      <c r="A851" s="2294"/>
      <c r="B851" s="2294"/>
      <c r="C851" s="2294"/>
      <c r="D851" s="2294"/>
      <c r="E851" s="1461"/>
      <c r="R851" s="1462"/>
      <c r="S851" s="1462"/>
      <c r="T851" s="1462"/>
      <c r="U851" s="1462"/>
      <c r="V851" s="1462"/>
      <c r="W851" s="1462"/>
      <c r="X851" s="1462"/>
      <c r="Y851" s="1462"/>
    </row>
    <row r="852" spans="1:25" x14ac:dyDescent="0.3">
      <c r="A852" s="2294"/>
      <c r="B852" s="2294"/>
      <c r="C852" s="2294"/>
      <c r="D852" s="2294"/>
      <c r="E852" s="1461"/>
      <c r="R852" s="1462"/>
      <c r="S852" s="1462"/>
      <c r="T852" s="1462"/>
      <c r="U852" s="1462"/>
      <c r="V852" s="1462"/>
      <c r="W852" s="1462"/>
      <c r="X852" s="1462"/>
      <c r="Y852" s="1462"/>
    </row>
    <row r="853" spans="1:25" x14ac:dyDescent="0.3">
      <c r="A853" s="2294"/>
      <c r="B853" s="2294"/>
      <c r="C853" s="2294"/>
      <c r="D853" s="2294"/>
      <c r="E853" s="1461"/>
      <c r="R853" s="1462"/>
      <c r="S853" s="1462"/>
      <c r="T853" s="1462"/>
      <c r="U853" s="1462"/>
      <c r="V853" s="1462"/>
      <c r="W853" s="1462"/>
      <c r="X853" s="1462"/>
      <c r="Y853" s="1462"/>
    </row>
    <row r="854" spans="1:25" x14ac:dyDescent="0.3">
      <c r="A854" s="2294"/>
      <c r="B854" s="2294"/>
      <c r="C854" s="2294"/>
      <c r="D854" s="2294"/>
      <c r="E854" s="1461"/>
      <c r="R854" s="1462"/>
      <c r="S854" s="1462"/>
      <c r="T854" s="1462"/>
      <c r="U854" s="1462"/>
      <c r="V854" s="1462"/>
      <c r="W854" s="1462"/>
      <c r="X854" s="1462"/>
      <c r="Y854" s="1462"/>
    </row>
    <row r="855" spans="1:25" x14ac:dyDescent="0.3">
      <c r="A855" s="2294"/>
      <c r="B855" s="2294"/>
      <c r="C855" s="2294"/>
      <c r="D855" s="2294"/>
      <c r="E855" s="1461"/>
      <c r="R855" s="1462"/>
      <c r="S855" s="1462"/>
      <c r="T855" s="1462"/>
      <c r="U855" s="1462"/>
      <c r="V855" s="1462"/>
      <c r="W855" s="1462"/>
      <c r="X855" s="1462"/>
      <c r="Y855" s="1462"/>
    </row>
    <row r="856" spans="1:25" x14ac:dyDescent="0.3">
      <c r="A856" s="2294"/>
      <c r="B856" s="2294"/>
      <c r="C856" s="2294"/>
      <c r="D856" s="2294"/>
      <c r="E856" s="1461"/>
      <c r="R856" s="1462"/>
      <c r="S856" s="1462"/>
      <c r="T856" s="1462"/>
      <c r="U856" s="1462"/>
      <c r="V856" s="1462"/>
      <c r="W856" s="1462"/>
      <c r="X856" s="1462"/>
      <c r="Y856" s="1462"/>
    </row>
    <row r="857" spans="1:25" x14ac:dyDescent="0.3">
      <c r="A857" s="2294"/>
      <c r="B857" s="2294"/>
      <c r="C857" s="2294"/>
      <c r="D857" s="2294"/>
      <c r="E857" s="1461"/>
      <c r="R857" s="1462"/>
      <c r="S857" s="1462"/>
      <c r="T857" s="1462"/>
      <c r="U857" s="1462"/>
      <c r="V857" s="1462"/>
      <c r="W857" s="1462"/>
      <c r="X857" s="1462"/>
      <c r="Y857" s="1462"/>
    </row>
    <row r="858" spans="1:25" x14ac:dyDescent="0.3">
      <c r="A858" s="2294"/>
      <c r="B858" s="2294"/>
      <c r="C858" s="2294"/>
      <c r="D858" s="2294"/>
      <c r="E858" s="1461"/>
      <c r="R858" s="1462"/>
      <c r="S858" s="1462"/>
      <c r="T858" s="1462"/>
      <c r="U858" s="1462"/>
      <c r="V858" s="1462"/>
      <c r="W858" s="1462"/>
      <c r="X858" s="1462"/>
      <c r="Y858" s="1462"/>
    </row>
    <row r="859" spans="1:25" x14ac:dyDescent="0.3">
      <c r="A859" s="2294"/>
      <c r="B859" s="2294"/>
      <c r="C859" s="2294"/>
      <c r="D859" s="2294"/>
      <c r="E859" s="1461"/>
      <c r="R859" s="1462"/>
      <c r="S859" s="1462"/>
      <c r="T859" s="1462"/>
      <c r="U859" s="1462"/>
      <c r="V859" s="1462"/>
      <c r="W859" s="1462"/>
      <c r="X859" s="1462"/>
      <c r="Y859" s="1462"/>
    </row>
    <row r="860" spans="1:25" x14ac:dyDescent="0.3">
      <c r="A860" s="2294"/>
      <c r="B860" s="2294"/>
      <c r="C860" s="2294"/>
      <c r="D860" s="2294"/>
      <c r="E860" s="1461"/>
      <c r="R860" s="1462"/>
      <c r="S860" s="1462"/>
      <c r="T860" s="1462"/>
      <c r="U860" s="1462"/>
      <c r="V860" s="1462"/>
      <c r="W860" s="1462"/>
      <c r="X860" s="1462"/>
      <c r="Y860" s="1462"/>
    </row>
    <row r="861" spans="1:25" x14ac:dyDescent="0.3">
      <c r="A861" s="2294"/>
      <c r="B861" s="2294"/>
      <c r="C861" s="2294"/>
      <c r="D861" s="2294"/>
      <c r="E861" s="1461"/>
      <c r="R861" s="1462"/>
      <c r="S861" s="1462"/>
      <c r="T861" s="1462"/>
      <c r="U861" s="1462"/>
      <c r="V861" s="1462"/>
      <c r="W861" s="1462"/>
      <c r="X861" s="1462"/>
      <c r="Y861" s="1462"/>
    </row>
    <row r="862" spans="1:25" x14ac:dyDescent="0.3">
      <c r="A862" s="2294"/>
      <c r="B862" s="2294"/>
      <c r="C862" s="2294"/>
      <c r="D862" s="2294"/>
      <c r="E862" s="1461"/>
      <c r="R862" s="1462"/>
      <c r="S862" s="1462"/>
      <c r="T862" s="1462"/>
      <c r="U862" s="1462"/>
      <c r="V862" s="1462"/>
      <c r="W862" s="1462"/>
      <c r="X862" s="1462"/>
      <c r="Y862" s="1462"/>
    </row>
    <row r="863" spans="1:25" x14ac:dyDescent="0.3">
      <c r="A863" s="2294"/>
      <c r="B863" s="2294"/>
      <c r="C863" s="2294"/>
      <c r="D863" s="2294"/>
      <c r="E863" s="1461"/>
      <c r="R863" s="1462"/>
      <c r="S863" s="1462"/>
      <c r="T863" s="1462"/>
      <c r="U863" s="1462"/>
      <c r="V863" s="1462"/>
      <c r="W863" s="1462"/>
      <c r="X863" s="1462"/>
      <c r="Y863" s="1462"/>
    </row>
    <row r="864" spans="1:25" x14ac:dyDescent="0.3">
      <c r="A864" s="2294"/>
      <c r="B864" s="2294"/>
      <c r="C864" s="2294"/>
      <c r="D864" s="2294"/>
      <c r="E864" s="1461"/>
      <c r="R864" s="1462"/>
      <c r="S864" s="1462"/>
      <c r="T864" s="1462"/>
      <c r="U864" s="1462"/>
      <c r="V864" s="1462"/>
      <c r="W864" s="1462"/>
      <c r="X864" s="1462"/>
      <c r="Y864" s="1462"/>
    </row>
    <row r="865" spans="1:25" x14ac:dyDescent="0.3">
      <c r="A865" s="2294"/>
      <c r="B865" s="2294"/>
      <c r="C865" s="2294"/>
      <c r="D865" s="2294"/>
      <c r="E865" s="1461"/>
      <c r="R865" s="1462"/>
      <c r="S865" s="1462"/>
      <c r="T865" s="1462"/>
      <c r="U865" s="1462"/>
      <c r="V865" s="1462"/>
      <c r="W865" s="1462"/>
      <c r="X865" s="1462"/>
      <c r="Y865" s="1462"/>
    </row>
    <row r="866" spans="1:25" x14ac:dyDescent="0.3">
      <c r="A866" s="2294"/>
      <c r="B866" s="2294"/>
      <c r="C866" s="2294"/>
      <c r="D866" s="2294"/>
      <c r="E866" s="1461"/>
      <c r="R866" s="1462"/>
      <c r="S866" s="1462"/>
      <c r="T866" s="1462"/>
      <c r="U866" s="1462"/>
      <c r="V866" s="1462"/>
      <c r="W866" s="1462"/>
      <c r="X866" s="1462"/>
      <c r="Y866" s="1462"/>
    </row>
    <row r="867" spans="1:25" x14ac:dyDescent="0.3">
      <c r="A867" s="2294"/>
      <c r="B867" s="2294"/>
      <c r="C867" s="2294"/>
      <c r="D867" s="2294"/>
      <c r="E867" s="1461"/>
      <c r="R867" s="1462"/>
      <c r="S867" s="1462"/>
      <c r="T867" s="1462"/>
      <c r="U867" s="1462"/>
      <c r="V867" s="1462"/>
      <c r="W867" s="1462"/>
      <c r="X867" s="1462"/>
      <c r="Y867" s="1462"/>
    </row>
    <row r="868" spans="1:25" x14ac:dyDescent="0.3">
      <c r="A868" s="2294"/>
      <c r="B868" s="2294"/>
      <c r="C868" s="2294"/>
      <c r="D868" s="2294"/>
      <c r="E868" s="1461"/>
      <c r="R868" s="1462"/>
      <c r="S868" s="1462"/>
      <c r="T868" s="1462"/>
      <c r="U868" s="1462"/>
      <c r="V868" s="1462"/>
      <c r="W868" s="1462"/>
      <c r="X868" s="1462"/>
      <c r="Y868" s="1462"/>
    </row>
    <row r="869" spans="1:25" x14ac:dyDescent="0.3">
      <c r="A869" s="2294"/>
      <c r="B869" s="2294"/>
      <c r="C869" s="2294"/>
      <c r="D869" s="2294"/>
      <c r="E869" s="1461"/>
      <c r="R869" s="1462"/>
      <c r="S869" s="1462"/>
      <c r="T869" s="1462"/>
      <c r="U869" s="1462"/>
      <c r="V869" s="1462"/>
      <c r="W869" s="1462"/>
      <c r="X869" s="1462"/>
      <c r="Y869" s="1462"/>
    </row>
    <row r="870" spans="1:25" x14ac:dyDescent="0.3">
      <c r="A870" s="2294"/>
      <c r="B870" s="2294"/>
      <c r="C870" s="2294"/>
      <c r="D870" s="2294"/>
      <c r="E870" s="1461"/>
      <c r="R870" s="1462"/>
      <c r="S870" s="1462"/>
      <c r="T870" s="1462"/>
      <c r="U870" s="1462"/>
      <c r="V870" s="1462"/>
      <c r="W870" s="1462"/>
      <c r="X870" s="1462"/>
      <c r="Y870" s="1462"/>
    </row>
    <row r="871" spans="1:25" x14ac:dyDescent="0.3">
      <c r="A871" s="2294"/>
      <c r="B871" s="2294"/>
      <c r="C871" s="2294"/>
      <c r="D871" s="2294"/>
      <c r="E871" s="1461"/>
      <c r="R871" s="1462"/>
      <c r="S871" s="1462"/>
      <c r="T871" s="1462"/>
      <c r="U871" s="1462"/>
      <c r="V871" s="1462"/>
      <c r="W871" s="1462"/>
      <c r="X871" s="1462"/>
      <c r="Y871" s="1462"/>
    </row>
    <row r="872" spans="1:25" x14ac:dyDescent="0.3">
      <c r="A872" s="2294"/>
      <c r="B872" s="2294"/>
      <c r="C872" s="2294"/>
      <c r="D872" s="2294"/>
      <c r="E872" s="1461"/>
      <c r="R872" s="1462"/>
      <c r="S872" s="1462"/>
      <c r="T872" s="1462"/>
      <c r="U872" s="1462"/>
      <c r="V872" s="1462"/>
      <c r="W872" s="1462"/>
      <c r="X872" s="1462"/>
      <c r="Y872" s="1462"/>
    </row>
    <row r="873" spans="1:25" x14ac:dyDescent="0.3">
      <c r="A873" s="2294"/>
      <c r="B873" s="2294"/>
      <c r="C873" s="2294"/>
      <c r="D873" s="2294"/>
      <c r="E873" s="1461"/>
      <c r="R873" s="1462"/>
      <c r="S873" s="1462"/>
      <c r="T873" s="1462"/>
      <c r="U873" s="1462"/>
      <c r="V873" s="1462"/>
      <c r="W873" s="1462"/>
      <c r="X873" s="1462"/>
      <c r="Y873" s="1462"/>
    </row>
    <row r="874" spans="1:25" x14ac:dyDescent="0.3">
      <c r="A874" s="2294"/>
      <c r="B874" s="2294"/>
      <c r="C874" s="2294"/>
      <c r="D874" s="2294"/>
      <c r="E874" s="1461"/>
      <c r="R874" s="1462"/>
      <c r="S874" s="1462"/>
      <c r="T874" s="1462"/>
      <c r="U874" s="1462"/>
      <c r="V874" s="1462"/>
      <c r="W874" s="1462"/>
      <c r="X874" s="1462"/>
      <c r="Y874" s="1462"/>
    </row>
    <row r="875" spans="1:25" x14ac:dyDescent="0.3">
      <c r="A875" s="2294"/>
      <c r="B875" s="2294"/>
      <c r="C875" s="2294"/>
      <c r="D875" s="2294"/>
      <c r="E875" s="1461"/>
      <c r="R875" s="1462"/>
      <c r="S875" s="1462"/>
      <c r="T875" s="1462"/>
      <c r="U875" s="1462"/>
      <c r="V875" s="1462"/>
      <c r="W875" s="1462"/>
      <c r="X875" s="1462"/>
      <c r="Y875" s="1462"/>
    </row>
    <row r="876" spans="1:25" x14ac:dyDescent="0.3">
      <c r="A876" s="2294"/>
      <c r="B876" s="2294"/>
      <c r="C876" s="2294"/>
      <c r="D876" s="2294"/>
      <c r="E876" s="1461"/>
      <c r="R876" s="1462"/>
      <c r="S876" s="1462"/>
      <c r="T876" s="1462"/>
      <c r="U876" s="1462"/>
      <c r="V876" s="1462"/>
      <c r="W876" s="1462"/>
      <c r="X876" s="1462"/>
      <c r="Y876" s="1462"/>
    </row>
    <row r="877" spans="1:25" x14ac:dyDescent="0.3">
      <c r="A877" s="2294"/>
      <c r="B877" s="2294"/>
      <c r="C877" s="2294"/>
      <c r="D877" s="2294"/>
      <c r="E877" s="1461"/>
      <c r="R877" s="1462"/>
      <c r="S877" s="1462"/>
      <c r="T877" s="1462"/>
      <c r="U877" s="1462"/>
      <c r="V877" s="1462"/>
      <c r="W877" s="1462"/>
      <c r="X877" s="1462"/>
      <c r="Y877" s="1462"/>
    </row>
    <row r="878" spans="1:25" x14ac:dyDescent="0.3">
      <c r="A878" s="2294"/>
      <c r="B878" s="2294"/>
      <c r="C878" s="2294"/>
      <c r="D878" s="2294"/>
      <c r="E878" s="1461"/>
      <c r="R878" s="1462"/>
      <c r="S878" s="1462"/>
      <c r="T878" s="1462"/>
      <c r="U878" s="1462"/>
      <c r="V878" s="1462"/>
      <c r="W878" s="1462"/>
      <c r="X878" s="1462"/>
      <c r="Y878" s="1462"/>
    </row>
    <row r="879" spans="1:25" x14ac:dyDescent="0.3">
      <c r="A879" s="2294"/>
      <c r="B879" s="2294"/>
      <c r="C879" s="2294"/>
      <c r="D879" s="2294"/>
      <c r="E879" s="1461"/>
      <c r="R879" s="1462"/>
      <c r="S879" s="1462"/>
      <c r="T879" s="1462"/>
      <c r="U879" s="1462"/>
      <c r="V879" s="1462"/>
      <c r="W879" s="1462"/>
      <c r="X879" s="1462"/>
      <c r="Y879" s="1462"/>
    </row>
    <row r="880" spans="1:25" x14ac:dyDescent="0.3">
      <c r="A880" s="2294"/>
      <c r="B880" s="2294"/>
      <c r="C880" s="2294"/>
      <c r="D880" s="2294"/>
      <c r="E880" s="1461"/>
      <c r="R880" s="1462"/>
      <c r="S880" s="1462"/>
      <c r="T880" s="1462"/>
      <c r="U880" s="1462"/>
      <c r="V880" s="1462"/>
      <c r="W880" s="1462"/>
      <c r="X880" s="1462"/>
      <c r="Y880" s="1462"/>
    </row>
    <row r="881" spans="1:25" x14ac:dyDescent="0.3">
      <c r="A881" s="2294"/>
      <c r="B881" s="2294"/>
      <c r="C881" s="2294"/>
      <c r="D881" s="2294"/>
      <c r="E881" s="1461"/>
      <c r="R881" s="1462"/>
      <c r="S881" s="1462"/>
      <c r="T881" s="1462"/>
      <c r="U881" s="1462"/>
      <c r="V881" s="1462"/>
      <c r="W881" s="1462"/>
      <c r="X881" s="1462"/>
      <c r="Y881" s="1462"/>
    </row>
    <row r="882" spans="1:25" x14ac:dyDescent="0.3">
      <c r="A882" s="2294"/>
      <c r="B882" s="2294"/>
      <c r="C882" s="2294"/>
      <c r="D882" s="2294"/>
      <c r="E882" s="1461"/>
      <c r="R882" s="1462"/>
      <c r="S882" s="1462"/>
      <c r="T882" s="1462"/>
      <c r="U882" s="1462"/>
      <c r="V882" s="1462"/>
      <c r="W882" s="1462"/>
      <c r="X882" s="1462"/>
      <c r="Y882" s="1462"/>
    </row>
    <row r="883" spans="1:25" x14ac:dyDescent="0.3">
      <c r="A883" s="2294"/>
      <c r="B883" s="2294"/>
      <c r="C883" s="2294"/>
      <c r="D883" s="2294"/>
      <c r="E883" s="1461"/>
      <c r="R883" s="1462"/>
      <c r="S883" s="1462"/>
      <c r="T883" s="1462"/>
      <c r="U883" s="1462"/>
      <c r="V883" s="1462"/>
      <c r="W883" s="1462"/>
      <c r="X883" s="1462"/>
      <c r="Y883" s="1462"/>
    </row>
    <row r="884" spans="1:25" x14ac:dyDescent="0.3">
      <c r="A884" s="2294"/>
      <c r="B884" s="2294"/>
      <c r="C884" s="2294"/>
      <c r="D884" s="2294"/>
      <c r="E884" s="1461"/>
      <c r="R884" s="1462"/>
      <c r="S884" s="1462"/>
      <c r="T884" s="1462"/>
      <c r="U884" s="1462"/>
      <c r="V884" s="1462"/>
      <c r="W884" s="1462"/>
      <c r="X884" s="1462"/>
      <c r="Y884" s="1462"/>
    </row>
    <row r="885" spans="1:25" x14ac:dyDescent="0.3">
      <c r="A885" s="2294"/>
      <c r="B885" s="2294"/>
      <c r="C885" s="2294"/>
      <c r="D885" s="2294"/>
      <c r="E885" s="1461"/>
      <c r="R885" s="1462"/>
      <c r="S885" s="1462"/>
      <c r="T885" s="1462"/>
      <c r="U885" s="1462"/>
      <c r="V885" s="1462"/>
      <c r="W885" s="1462"/>
      <c r="X885" s="1462"/>
      <c r="Y885" s="1462"/>
    </row>
    <row r="886" spans="1:25" x14ac:dyDescent="0.3">
      <c r="A886" s="2294"/>
      <c r="B886" s="2294"/>
      <c r="C886" s="2294"/>
      <c r="D886" s="2294"/>
      <c r="E886" s="1461"/>
      <c r="R886" s="1462"/>
      <c r="S886" s="1462"/>
      <c r="T886" s="1462"/>
      <c r="U886" s="1462"/>
      <c r="V886" s="1462"/>
      <c r="W886" s="1462"/>
      <c r="X886" s="1462"/>
      <c r="Y886" s="1462"/>
    </row>
    <row r="887" spans="1:25" x14ac:dyDescent="0.3">
      <c r="A887" s="2294"/>
      <c r="B887" s="2294"/>
      <c r="C887" s="2294"/>
      <c r="D887" s="2294"/>
      <c r="E887" s="1461"/>
      <c r="R887" s="1462"/>
      <c r="S887" s="1462"/>
      <c r="T887" s="1462"/>
      <c r="U887" s="1462"/>
      <c r="V887" s="1462"/>
      <c r="W887" s="1462"/>
      <c r="X887" s="1462"/>
      <c r="Y887" s="1462"/>
    </row>
    <row r="888" spans="1:25" x14ac:dyDescent="0.3">
      <c r="A888" s="2294"/>
      <c r="B888" s="2294"/>
      <c r="C888" s="2294"/>
      <c r="D888" s="2294"/>
      <c r="E888" s="1461"/>
      <c r="R888" s="1462"/>
      <c r="S888" s="1462"/>
      <c r="T888" s="1462"/>
      <c r="U888" s="1462"/>
      <c r="V888" s="1462"/>
      <c r="W888" s="1462"/>
      <c r="X888" s="1462"/>
      <c r="Y888" s="1462"/>
    </row>
    <row r="889" spans="1:25" x14ac:dyDescent="0.3">
      <c r="A889" s="2294"/>
      <c r="B889" s="2294"/>
      <c r="C889" s="2294"/>
      <c r="D889" s="2294"/>
      <c r="E889" s="1461"/>
      <c r="R889" s="1462"/>
      <c r="S889" s="1462"/>
      <c r="T889" s="1462"/>
      <c r="U889" s="1462"/>
      <c r="V889" s="1462"/>
      <c r="W889" s="1462"/>
      <c r="X889" s="1462"/>
      <c r="Y889" s="1462"/>
    </row>
    <row r="890" spans="1:25" x14ac:dyDescent="0.3">
      <c r="A890" s="2294"/>
      <c r="B890" s="2294"/>
      <c r="C890" s="2294"/>
      <c r="D890" s="2294"/>
      <c r="E890" s="1461"/>
      <c r="R890" s="1462"/>
      <c r="S890" s="1462"/>
      <c r="T890" s="1462"/>
      <c r="U890" s="1462"/>
      <c r="V890" s="1462"/>
      <c r="W890" s="1462"/>
      <c r="X890" s="1462"/>
      <c r="Y890" s="1462"/>
    </row>
    <row r="891" spans="1:25" x14ac:dyDescent="0.3">
      <c r="A891" s="2294"/>
      <c r="B891" s="2294"/>
      <c r="C891" s="2294"/>
      <c r="D891" s="2294"/>
      <c r="E891" s="1461"/>
      <c r="R891" s="1462"/>
      <c r="S891" s="1462"/>
      <c r="T891" s="1462"/>
      <c r="U891" s="1462"/>
      <c r="V891" s="1462"/>
      <c r="W891" s="1462"/>
      <c r="X891" s="1462"/>
      <c r="Y891" s="1462"/>
    </row>
    <row r="892" spans="1:25" x14ac:dyDescent="0.3">
      <c r="A892" s="2294"/>
      <c r="B892" s="2294"/>
      <c r="C892" s="2294"/>
      <c r="D892" s="2294"/>
      <c r="E892" s="1461"/>
      <c r="R892" s="1462"/>
      <c r="S892" s="1462"/>
      <c r="T892" s="1462"/>
      <c r="U892" s="1462"/>
      <c r="V892" s="1462"/>
      <c r="W892" s="1462"/>
      <c r="X892" s="1462"/>
      <c r="Y892" s="1462"/>
    </row>
    <row r="893" spans="1:25" x14ac:dyDescent="0.3">
      <c r="A893" s="2294"/>
      <c r="B893" s="2294"/>
      <c r="C893" s="2294"/>
      <c r="D893" s="2294"/>
      <c r="E893" s="1461"/>
      <c r="R893" s="1462"/>
      <c r="S893" s="1462"/>
      <c r="T893" s="1462"/>
      <c r="U893" s="1462"/>
      <c r="V893" s="1462"/>
      <c r="W893" s="1462"/>
      <c r="X893" s="1462"/>
      <c r="Y893" s="1462"/>
    </row>
    <row r="894" spans="1:25" x14ac:dyDescent="0.3">
      <c r="A894" s="2294"/>
      <c r="B894" s="2294"/>
      <c r="C894" s="2294"/>
      <c r="D894" s="2294"/>
      <c r="E894" s="1461"/>
      <c r="R894" s="1462"/>
      <c r="S894" s="1462"/>
      <c r="T894" s="1462"/>
      <c r="U894" s="1462"/>
      <c r="V894" s="1462"/>
      <c r="W894" s="1462"/>
      <c r="X894" s="1462"/>
      <c r="Y894" s="1462"/>
    </row>
    <row r="895" spans="1:25" x14ac:dyDescent="0.3">
      <c r="A895" s="2294"/>
      <c r="B895" s="2294"/>
      <c r="C895" s="2294"/>
      <c r="D895" s="2294"/>
      <c r="E895" s="1461"/>
      <c r="R895" s="1462"/>
      <c r="S895" s="1462"/>
      <c r="T895" s="1462"/>
      <c r="U895" s="1462"/>
      <c r="V895" s="1462"/>
      <c r="W895" s="1462"/>
      <c r="X895" s="1462"/>
      <c r="Y895" s="1462"/>
    </row>
    <row r="896" spans="1:25" x14ac:dyDescent="0.3">
      <c r="A896" s="2294"/>
      <c r="B896" s="2294"/>
      <c r="C896" s="2294"/>
      <c r="D896" s="2294"/>
      <c r="E896" s="1461"/>
      <c r="R896" s="1462"/>
      <c r="S896" s="1462"/>
      <c r="T896" s="1462"/>
      <c r="U896" s="1462"/>
      <c r="V896" s="1462"/>
      <c r="W896" s="1462"/>
      <c r="X896" s="1462"/>
      <c r="Y896" s="1462"/>
    </row>
    <row r="897" spans="1:25" x14ac:dyDescent="0.3">
      <c r="A897" s="2294"/>
      <c r="B897" s="2294"/>
      <c r="C897" s="2294"/>
      <c r="D897" s="2294"/>
      <c r="E897" s="1461"/>
      <c r="R897" s="1462"/>
      <c r="S897" s="1462"/>
      <c r="T897" s="1462"/>
      <c r="U897" s="1462"/>
      <c r="V897" s="1462"/>
      <c r="W897" s="1462"/>
      <c r="X897" s="1462"/>
      <c r="Y897" s="1462"/>
    </row>
    <row r="898" spans="1:25" x14ac:dyDescent="0.3">
      <c r="A898" s="2294"/>
      <c r="B898" s="2294"/>
      <c r="C898" s="2294"/>
      <c r="D898" s="2294"/>
      <c r="E898" s="1461"/>
      <c r="R898" s="1462"/>
      <c r="S898" s="1462"/>
      <c r="T898" s="1462"/>
      <c r="U898" s="1462"/>
      <c r="V898" s="1462"/>
      <c r="W898" s="1462"/>
      <c r="X898" s="1462"/>
      <c r="Y898" s="1462"/>
    </row>
    <row r="899" spans="1:25" x14ac:dyDescent="0.3">
      <c r="A899" s="2294"/>
      <c r="B899" s="2294"/>
      <c r="C899" s="2294"/>
      <c r="D899" s="2294"/>
      <c r="E899" s="1461"/>
      <c r="R899" s="1462"/>
      <c r="S899" s="1462"/>
      <c r="T899" s="1462"/>
      <c r="U899" s="1462"/>
      <c r="V899" s="1462"/>
      <c r="W899" s="1462"/>
      <c r="X899" s="1462"/>
      <c r="Y899" s="1462"/>
    </row>
    <row r="900" spans="1:25" x14ac:dyDescent="0.3">
      <c r="A900" s="2294"/>
      <c r="B900" s="2294"/>
      <c r="C900" s="2294"/>
      <c r="D900" s="2294"/>
      <c r="E900" s="1461"/>
      <c r="R900" s="1462"/>
      <c r="S900" s="1462"/>
      <c r="T900" s="1462"/>
      <c r="U900" s="1462"/>
      <c r="V900" s="1462"/>
      <c r="W900" s="1462"/>
      <c r="X900" s="1462"/>
      <c r="Y900" s="1462"/>
    </row>
    <row r="901" spans="1:25" x14ac:dyDescent="0.3">
      <c r="A901" s="2294"/>
      <c r="B901" s="2294"/>
      <c r="C901" s="2294"/>
      <c r="D901" s="2294"/>
      <c r="E901" s="1461"/>
      <c r="R901" s="1462"/>
      <c r="S901" s="1462"/>
      <c r="T901" s="1462"/>
      <c r="U901" s="1462"/>
      <c r="V901" s="1462"/>
      <c r="W901" s="1462"/>
      <c r="X901" s="1462"/>
      <c r="Y901" s="1462"/>
    </row>
    <row r="902" spans="1:25" x14ac:dyDescent="0.3">
      <c r="A902" s="2294"/>
      <c r="B902" s="2294"/>
      <c r="C902" s="2294"/>
      <c r="D902" s="2294"/>
      <c r="E902" s="1461"/>
      <c r="R902" s="1462"/>
      <c r="S902" s="1462"/>
      <c r="T902" s="1462"/>
      <c r="U902" s="1462"/>
      <c r="V902" s="1462"/>
      <c r="W902" s="1462"/>
      <c r="X902" s="1462"/>
      <c r="Y902" s="1462"/>
    </row>
    <row r="903" spans="1:25" x14ac:dyDescent="0.3">
      <c r="A903" s="2294"/>
      <c r="B903" s="2294"/>
      <c r="C903" s="2294"/>
      <c r="D903" s="2294"/>
      <c r="E903" s="1461"/>
      <c r="R903" s="1462"/>
      <c r="S903" s="1462"/>
      <c r="T903" s="1462"/>
      <c r="U903" s="1462"/>
      <c r="V903" s="1462"/>
      <c r="W903" s="1462"/>
      <c r="X903" s="1462"/>
      <c r="Y903" s="1462"/>
    </row>
    <row r="904" spans="1:25" x14ac:dyDescent="0.3">
      <c r="A904" s="2294"/>
      <c r="B904" s="2294"/>
      <c r="C904" s="2294"/>
      <c r="D904" s="2294"/>
      <c r="E904" s="1461"/>
      <c r="R904" s="1462"/>
      <c r="S904" s="1462"/>
      <c r="T904" s="1462"/>
      <c r="U904" s="1462"/>
      <c r="V904" s="1462"/>
      <c r="W904" s="1462"/>
      <c r="X904" s="1462"/>
      <c r="Y904" s="1462"/>
    </row>
    <row r="905" spans="1:25" x14ac:dyDescent="0.3">
      <c r="A905" s="2294"/>
      <c r="B905" s="2294"/>
      <c r="C905" s="2294"/>
      <c r="D905" s="2294"/>
      <c r="E905" s="1461"/>
      <c r="R905" s="1462"/>
      <c r="S905" s="1462"/>
      <c r="T905" s="1462"/>
      <c r="U905" s="1462"/>
      <c r="V905" s="1462"/>
      <c r="W905" s="1462"/>
      <c r="X905" s="1462"/>
      <c r="Y905" s="1462"/>
    </row>
    <row r="906" spans="1:25" x14ac:dyDescent="0.3">
      <c r="A906" s="2294"/>
      <c r="B906" s="2294"/>
      <c r="C906" s="2294"/>
      <c r="D906" s="2294"/>
      <c r="E906" s="1461"/>
      <c r="R906" s="1462"/>
      <c r="S906" s="1462"/>
      <c r="T906" s="1462"/>
      <c r="U906" s="1462"/>
      <c r="V906" s="1462"/>
      <c r="W906" s="1462"/>
      <c r="X906" s="1462"/>
      <c r="Y906" s="1462"/>
    </row>
    <row r="907" spans="1:25" x14ac:dyDescent="0.3">
      <c r="A907" s="2294"/>
      <c r="B907" s="2294"/>
      <c r="C907" s="2294"/>
      <c r="D907" s="2294"/>
      <c r="E907" s="1461"/>
      <c r="R907" s="1462"/>
      <c r="S907" s="1462"/>
      <c r="T907" s="1462"/>
      <c r="U907" s="1462"/>
      <c r="V907" s="1462"/>
      <c r="W907" s="1462"/>
      <c r="X907" s="1462"/>
      <c r="Y907" s="1462"/>
    </row>
    <row r="908" spans="1:25" x14ac:dyDescent="0.3">
      <c r="A908" s="2294"/>
      <c r="B908" s="2294"/>
      <c r="C908" s="2294"/>
      <c r="D908" s="2294"/>
      <c r="E908" s="1461"/>
      <c r="R908" s="1462"/>
      <c r="S908" s="1462"/>
      <c r="T908" s="1462"/>
      <c r="U908" s="1462"/>
      <c r="V908" s="1462"/>
      <c r="W908" s="1462"/>
      <c r="X908" s="1462"/>
      <c r="Y908" s="1462"/>
    </row>
    <row r="909" spans="1:25" x14ac:dyDescent="0.3">
      <c r="A909" s="2294"/>
      <c r="B909" s="2294"/>
      <c r="C909" s="2294"/>
      <c r="D909" s="2294"/>
      <c r="E909" s="1461"/>
      <c r="R909" s="1462"/>
      <c r="S909" s="1462"/>
      <c r="T909" s="1462"/>
      <c r="U909" s="1462"/>
      <c r="V909" s="1462"/>
      <c r="W909" s="1462"/>
      <c r="X909" s="1462"/>
      <c r="Y909" s="1462"/>
    </row>
    <row r="910" spans="1:25" x14ac:dyDescent="0.3">
      <c r="A910" s="2294"/>
      <c r="B910" s="2294"/>
      <c r="C910" s="2294"/>
      <c r="D910" s="2294"/>
      <c r="E910" s="1461"/>
      <c r="R910" s="1462"/>
      <c r="S910" s="1462"/>
      <c r="T910" s="1462"/>
      <c r="U910" s="1462"/>
      <c r="V910" s="1462"/>
      <c r="W910" s="1462"/>
      <c r="X910" s="1462"/>
      <c r="Y910" s="1462"/>
    </row>
    <row r="911" spans="1:25" x14ac:dyDescent="0.3">
      <c r="A911" s="2294"/>
      <c r="B911" s="2294"/>
      <c r="C911" s="2294"/>
      <c r="D911" s="2294"/>
      <c r="E911" s="1461"/>
      <c r="R911" s="1462"/>
      <c r="S911" s="1462"/>
      <c r="T911" s="1462"/>
      <c r="U911" s="1462"/>
      <c r="V911" s="1462"/>
      <c r="W911" s="1462"/>
      <c r="X911" s="1462"/>
      <c r="Y911" s="1462"/>
    </row>
    <row r="912" spans="1:25" x14ac:dyDescent="0.3">
      <c r="A912" s="2294"/>
      <c r="B912" s="2294"/>
      <c r="C912" s="2294"/>
      <c r="D912" s="2294"/>
      <c r="E912" s="1461"/>
      <c r="R912" s="1462"/>
      <c r="S912" s="1462"/>
      <c r="T912" s="1462"/>
      <c r="U912" s="1462"/>
      <c r="V912" s="1462"/>
      <c r="W912" s="1462"/>
      <c r="X912" s="1462"/>
      <c r="Y912" s="1462"/>
    </row>
    <row r="913" spans="1:25" x14ac:dyDescent="0.3">
      <c r="A913" s="2294"/>
      <c r="B913" s="2294"/>
      <c r="C913" s="2294"/>
      <c r="D913" s="2294"/>
      <c r="E913" s="1461"/>
      <c r="R913" s="1462"/>
      <c r="S913" s="1462"/>
      <c r="T913" s="1462"/>
      <c r="U913" s="1462"/>
      <c r="V913" s="1462"/>
      <c r="W913" s="1462"/>
      <c r="X913" s="1462"/>
      <c r="Y913" s="1462"/>
    </row>
    <row r="914" spans="1:25" x14ac:dyDescent="0.3">
      <c r="A914" s="2294"/>
      <c r="B914" s="2294"/>
      <c r="C914" s="2294"/>
      <c r="D914" s="2294"/>
      <c r="E914" s="1461"/>
      <c r="R914" s="1462"/>
      <c r="S914" s="1462"/>
      <c r="T914" s="1462"/>
      <c r="U914" s="1462"/>
      <c r="V914" s="1462"/>
      <c r="W914" s="1462"/>
      <c r="X914" s="1462"/>
      <c r="Y914" s="1462"/>
    </row>
    <row r="915" spans="1:25" x14ac:dyDescent="0.3">
      <c r="A915" s="2294"/>
      <c r="B915" s="2294"/>
      <c r="C915" s="2294"/>
      <c r="D915" s="2294"/>
      <c r="E915" s="1461"/>
      <c r="R915" s="1462"/>
      <c r="S915" s="1462"/>
      <c r="T915" s="1462"/>
      <c r="U915" s="1462"/>
      <c r="V915" s="1462"/>
      <c r="W915" s="1462"/>
      <c r="X915" s="1462"/>
      <c r="Y915" s="1462"/>
    </row>
    <row r="916" spans="1:25" x14ac:dyDescent="0.3">
      <c r="A916" s="2294"/>
      <c r="B916" s="2294"/>
      <c r="C916" s="2294"/>
      <c r="D916" s="2294"/>
      <c r="E916" s="1461"/>
      <c r="R916" s="1462"/>
      <c r="S916" s="1462"/>
      <c r="T916" s="1462"/>
      <c r="U916" s="1462"/>
      <c r="V916" s="1462"/>
      <c r="W916" s="1462"/>
      <c r="X916" s="1462"/>
      <c r="Y916" s="1462"/>
    </row>
    <row r="917" spans="1:25" x14ac:dyDescent="0.3">
      <c r="A917" s="2294"/>
      <c r="B917" s="2294"/>
      <c r="C917" s="2294"/>
      <c r="D917" s="2294"/>
      <c r="E917" s="1461"/>
      <c r="R917" s="1462"/>
      <c r="S917" s="1462"/>
      <c r="T917" s="1462"/>
      <c r="U917" s="1462"/>
      <c r="V917" s="1462"/>
      <c r="W917" s="1462"/>
      <c r="X917" s="1462"/>
      <c r="Y917" s="1462"/>
    </row>
    <row r="918" spans="1:25" x14ac:dyDescent="0.3">
      <c r="A918" s="2294"/>
      <c r="B918" s="2294"/>
      <c r="C918" s="2294"/>
      <c r="D918" s="2294"/>
      <c r="E918" s="1461"/>
      <c r="R918" s="1462"/>
      <c r="S918" s="1462"/>
      <c r="T918" s="1462"/>
      <c r="U918" s="1462"/>
      <c r="V918" s="1462"/>
      <c r="W918" s="1462"/>
      <c r="X918" s="1462"/>
      <c r="Y918" s="1462"/>
    </row>
    <row r="919" spans="1:25" x14ac:dyDescent="0.3">
      <c r="A919" s="2294"/>
      <c r="B919" s="2294"/>
      <c r="C919" s="2294"/>
      <c r="D919" s="2294"/>
      <c r="E919" s="1461"/>
      <c r="R919" s="1462"/>
      <c r="S919" s="1462"/>
      <c r="T919" s="1462"/>
      <c r="U919" s="1462"/>
      <c r="V919" s="1462"/>
      <c r="W919" s="1462"/>
      <c r="X919" s="1462"/>
      <c r="Y919" s="1462"/>
    </row>
    <row r="920" spans="1:25" x14ac:dyDescent="0.3">
      <c r="A920" s="2294"/>
      <c r="B920" s="2294"/>
      <c r="C920" s="2294"/>
      <c r="D920" s="2294"/>
      <c r="E920" s="1461"/>
      <c r="R920" s="1462"/>
      <c r="S920" s="1462"/>
      <c r="T920" s="1462"/>
      <c r="U920" s="1462"/>
      <c r="V920" s="1462"/>
      <c r="W920" s="1462"/>
      <c r="X920" s="1462"/>
      <c r="Y920" s="1462"/>
    </row>
    <row r="921" spans="1:25" x14ac:dyDescent="0.3">
      <c r="A921" s="2294"/>
      <c r="B921" s="2294"/>
      <c r="C921" s="2294"/>
      <c r="D921" s="2294"/>
      <c r="E921" s="1461"/>
      <c r="R921" s="1462"/>
      <c r="S921" s="1462"/>
      <c r="T921" s="1462"/>
      <c r="U921" s="1462"/>
      <c r="V921" s="1462"/>
      <c r="W921" s="1462"/>
      <c r="X921" s="1462"/>
      <c r="Y921" s="1462"/>
    </row>
    <row r="922" spans="1:25" x14ac:dyDescent="0.3">
      <c r="A922" s="2294"/>
      <c r="B922" s="2294"/>
      <c r="C922" s="2294"/>
      <c r="D922" s="2294"/>
      <c r="E922" s="1461"/>
      <c r="R922" s="1462"/>
      <c r="S922" s="1462"/>
      <c r="T922" s="1462"/>
      <c r="U922" s="1462"/>
      <c r="V922" s="1462"/>
      <c r="W922" s="1462"/>
      <c r="X922" s="1462"/>
      <c r="Y922" s="1462"/>
    </row>
    <row r="923" spans="1:25" x14ac:dyDescent="0.3">
      <c r="A923" s="2294"/>
      <c r="B923" s="2294"/>
      <c r="C923" s="2294"/>
      <c r="D923" s="2294"/>
      <c r="E923" s="1461"/>
      <c r="R923" s="1462"/>
      <c r="S923" s="1462"/>
      <c r="T923" s="1462"/>
      <c r="U923" s="1462"/>
      <c r="V923" s="1462"/>
      <c r="W923" s="1462"/>
      <c r="X923" s="1462"/>
      <c r="Y923" s="1462"/>
    </row>
    <row r="924" spans="1:25" x14ac:dyDescent="0.3">
      <c r="A924" s="2294"/>
      <c r="B924" s="2294"/>
      <c r="C924" s="2294"/>
      <c r="D924" s="2294"/>
      <c r="E924" s="1461"/>
      <c r="R924" s="1462"/>
      <c r="S924" s="1462"/>
      <c r="T924" s="1462"/>
      <c r="U924" s="1462"/>
      <c r="V924" s="1462"/>
      <c r="W924" s="1462"/>
      <c r="X924" s="1462"/>
      <c r="Y924" s="1462"/>
    </row>
    <row r="925" spans="1:25" x14ac:dyDescent="0.3">
      <c r="A925" s="2294"/>
      <c r="B925" s="2294"/>
      <c r="C925" s="2294"/>
      <c r="D925" s="2294"/>
      <c r="E925" s="1461"/>
      <c r="R925" s="1462"/>
      <c r="S925" s="1462"/>
      <c r="T925" s="1462"/>
      <c r="U925" s="1462"/>
      <c r="V925" s="1462"/>
      <c r="W925" s="1462"/>
      <c r="X925" s="1462"/>
      <c r="Y925" s="1462"/>
    </row>
    <row r="926" spans="1:25" x14ac:dyDescent="0.3">
      <c r="A926" s="2294"/>
      <c r="B926" s="2294"/>
      <c r="C926" s="2294"/>
      <c r="D926" s="2294"/>
      <c r="E926" s="1461"/>
      <c r="R926" s="1462"/>
      <c r="S926" s="1462"/>
      <c r="T926" s="1462"/>
      <c r="U926" s="1462"/>
      <c r="V926" s="1462"/>
      <c r="W926" s="1462"/>
      <c r="X926" s="1462"/>
      <c r="Y926" s="1462"/>
    </row>
    <row r="927" spans="1:25" x14ac:dyDescent="0.3">
      <c r="A927" s="2294"/>
      <c r="B927" s="2294"/>
      <c r="C927" s="2294"/>
      <c r="D927" s="2294"/>
      <c r="E927" s="1461"/>
      <c r="R927" s="1462"/>
      <c r="S927" s="1462"/>
      <c r="T927" s="1462"/>
      <c r="U927" s="1462"/>
      <c r="V927" s="1462"/>
      <c r="W927" s="1462"/>
      <c r="X927" s="1462"/>
      <c r="Y927" s="1462"/>
    </row>
    <row r="928" spans="1:25" x14ac:dyDescent="0.3">
      <c r="A928" s="2294"/>
      <c r="B928" s="2294"/>
      <c r="C928" s="2294"/>
      <c r="D928" s="2294"/>
      <c r="E928" s="1461"/>
      <c r="R928" s="1462"/>
      <c r="S928" s="1462"/>
      <c r="T928" s="1462"/>
      <c r="U928" s="1462"/>
      <c r="V928" s="1462"/>
      <c r="W928" s="1462"/>
      <c r="X928" s="1462"/>
      <c r="Y928" s="1462"/>
    </row>
    <row r="929" spans="1:25" x14ac:dyDescent="0.3">
      <c r="A929" s="2294"/>
      <c r="B929" s="2294"/>
      <c r="C929" s="2294"/>
      <c r="D929" s="2294"/>
      <c r="E929" s="1461"/>
      <c r="R929" s="1462"/>
      <c r="S929" s="1462"/>
      <c r="T929" s="1462"/>
      <c r="U929" s="1462"/>
      <c r="V929" s="1462"/>
      <c r="W929" s="1462"/>
      <c r="X929" s="1462"/>
      <c r="Y929" s="1462"/>
    </row>
    <row r="930" spans="1:25" x14ac:dyDescent="0.3">
      <c r="A930" s="2294"/>
      <c r="B930" s="2294"/>
      <c r="C930" s="2294"/>
      <c r="D930" s="2294"/>
      <c r="E930" s="1461"/>
      <c r="R930" s="1462"/>
      <c r="S930" s="1462"/>
      <c r="T930" s="1462"/>
      <c r="U930" s="1462"/>
      <c r="V930" s="1462"/>
      <c r="W930" s="1462"/>
      <c r="X930" s="1462"/>
      <c r="Y930" s="1462"/>
    </row>
    <row r="931" spans="1:25" x14ac:dyDescent="0.3">
      <c r="A931" s="2294"/>
      <c r="B931" s="2294"/>
      <c r="C931" s="2294"/>
      <c r="D931" s="2294"/>
      <c r="E931" s="1461"/>
      <c r="R931" s="1462"/>
      <c r="S931" s="1462"/>
      <c r="T931" s="1462"/>
      <c r="U931" s="1462"/>
      <c r="V931" s="1462"/>
      <c r="W931" s="1462"/>
      <c r="X931" s="1462"/>
      <c r="Y931" s="1462"/>
    </row>
    <row r="932" spans="1:25" x14ac:dyDescent="0.3">
      <c r="A932" s="2294"/>
      <c r="B932" s="2294"/>
      <c r="C932" s="2294"/>
      <c r="D932" s="2294"/>
      <c r="E932" s="1461"/>
      <c r="R932" s="1462"/>
      <c r="S932" s="1462"/>
      <c r="T932" s="1462"/>
      <c r="U932" s="1462"/>
      <c r="V932" s="1462"/>
      <c r="W932" s="1462"/>
      <c r="X932" s="1462"/>
      <c r="Y932" s="1462"/>
    </row>
    <row r="933" spans="1:25" x14ac:dyDescent="0.3">
      <c r="A933" s="2294"/>
      <c r="B933" s="2294"/>
      <c r="C933" s="2294"/>
      <c r="D933" s="2294"/>
      <c r="E933" s="1461"/>
      <c r="R933" s="1462"/>
      <c r="S933" s="1462"/>
      <c r="T933" s="1462"/>
      <c r="U933" s="1462"/>
      <c r="V933" s="1462"/>
      <c r="W933" s="1462"/>
      <c r="X933" s="1462"/>
      <c r="Y933" s="1462"/>
    </row>
    <row r="934" spans="1:25" x14ac:dyDescent="0.3">
      <c r="A934" s="2294"/>
      <c r="B934" s="2294"/>
      <c r="C934" s="2294"/>
      <c r="D934" s="2294"/>
      <c r="E934" s="1461"/>
      <c r="R934" s="1462"/>
      <c r="S934" s="1462"/>
      <c r="T934" s="1462"/>
      <c r="U934" s="1462"/>
      <c r="V934" s="1462"/>
      <c r="W934" s="1462"/>
      <c r="X934" s="1462"/>
      <c r="Y934" s="1462"/>
    </row>
    <row r="935" spans="1:25" x14ac:dyDescent="0.3">
      <c r="A935" s="2294"/>
      <c r="B935" s="2294"/>
      <c r="C935" s="2294"/>
      <c r="D935" s="2294"/>
      <c r="E935" s="1461"/>
      <c r="R935" s="1462"/>
      <c r="S935" s="1462"/>
      <c r="T935" s="1462"/>
      <c r="U935" s="1462"/>
      <c r="V935" s="1462"/>
      <c r="W935" s="1462"/>
      <c r="X935" s="1462"/>
      <c r="Y935" s="1462"/>
    </row>
    <row r="936" spans="1:25" x14ac:dyDescent="0.3">
      <c r="A936" s="2294"/>
      <c r="B936" s="2294"/>
      <c r="C936" s="2294"/>
      <c r="D936" s="2294"/>
      <c r="E936" s="1461"/>
      <c r="R936" s="1462"/>
      <c r="S936" s="1462"/>
      <c r="T936" s="1462"/>
      <c r="U936" s="1462"/>
      <c r="V936" s="1462"/>
      <c r="W936" s="1462"/>
      <c r="X936" s="1462"/>
      <c r="Y936" s="1462"/>
    </row>
    <row r="937" spans="1:25" x14ac:dyDescent="0.3">
      <c r="A937" s="2294"/>
      <c r="B937" s="2294"/>
      <c r="C937" s="2294"/>
      <c r="D937" s="2294"/>
      <c r="E937" s="1461"/>
      <c r="R937" s="1462"/>
      <c r="S937" s="1462"/>
      <c r="T937" s="1462"/>
      <c r="U937" s="1462"/>
      <c r="V937" s="1462"/>
      <c r="W937" s="1462"/>
      <c r="X937" s="1462"/>
      <c r="Y937" s="1462"/>
    </row>
    <row r="938" spans="1:25" x14ac:dyDescent="0.3">
      <c r="A938" s="2294"/>
      <c r="B938" s="2294"/>
      <c r="C938" s="2294"/>
      <c r="D938" s="2294"/>
      <c r="E938" s="1461"/>
      <c r="R938" s="1462"/>
      <c r="S938" s="1462"/>
      <c r="T938" s="1462"/>
      <c r="U938" s="1462"/>
      <c r="V938" s="1462"/>
      <c r="W938" s="1462"/>
      <c r="X938" s="1462"/>
      <c r="Y938" s="1462"/>
    </row>
    <row r="939" spans="1:25" x14ac:dyDescent="0.3">
      <c r="A939" s="2294"/>
      <c r="B939" s="2294"/>
      <c r="C939" s="2294"/>
      <c r="D939" s="2294"/>
      <c r="E939" s="1461"/>
      <c r="R939" s="1462"/>
      <c r="S939" s="1462"/>
      <c r="T939" s="1462"/>
      <c r="U939" s="1462"/>
      <c r="V939" s="1462"/>
      <c r="W939" s="1462"/>
      <c r="X939" s="1462"/>
      <c r="Y939" s="1462"/>
    </row>
    <row r="940" spans="1:25" x14ac:dyDescent="0.3">
      <c r="A940" s="2294"/>
      <c r="B940" s="2294"/>
      <c r="C940" s="2294"/>
      <c r="D940" s="2294"/>
      <c r="E940" s="1461"/>
      <c r="R940" s="1462"/>
      <c r="S940" s="1462"/>
      <c r="T940" s="1462"/>
      <c r="U940" s="1462"/>
      <c r="V940" s="1462"/>
      <c r="W940" s="1462"/>
      <c r="X940" s="1462"/>
      <c r="Y940" s="1462"/>
    </row>
    <row r="941" spans="1:25" x14ac:dyDescent="0.3">
      <c r="A941" s="2294"/>
      <c r="B941" s="2294"/>
      <c r="C941" s="2294"/>
      <c r="D941" s="2294"/>
      <c r="E941" s="1461"/>
      <c r="R941" s="1462"/>
      <c r="S941" s="1462"/>
      <c r="T941" s="1462"/>
      <c r="U941" s="1462"/>
      <c r="V941" s="1462"/>
      <c r="W941" s="1462"/>
      <c r="X941" s="1462"/>
      <c r="Y941" s="1462"/>
    </row>
    <row r="942" spans="1:25" x14ac:dyDescent="0.3">
      <c r="A942" s="2294"/>
      <c r="B942" s="2294"/>
      <c r="C942" s="2294"/>
      <c r="D942" s="2294"/>
      <c r="E942" s="1461"/>
      <c r="R942" s="1462"/>
      <c r="S942" s="1462"/>
      <c r="T942" s="1462"/>
      <c r="U942" s="1462"/>
      <c r="V942" s="1462"/>
      <c r="W942" s="1462"/>
      <c r="X942" s="1462"/>
      <c r="Y942" s="1462"/>
    </row>
    <row r="943" spans="1:25" x14ac:dyDescent="0.3">
      <c r="A943" s="2294"/>
      <c r="B943" s="2294"/>
      <c r="C943" s="2294"/>
      <c r="D943" s="2294"/>
      <c r="E943" s="1461"/>
      <c r="R943" s="1462"/>
      <c r="S943" s="1462"/>
      <c r="T943" s="1462"/>
      <c r="U943" s="1462"/>
      <c r="V943" s="1462"/>
      <c r="W943" s="1462"/>
      <c r="X943" s="1462"/>
      <c r="Y943" s="1462"/>
    </row>
    <row r="944" spans="1:25" x14ac:dyDescent="0.3">
      <c r="A944" s="2294"/>
      <c r="B944" s="2294"/>
      <c r="C944" s="2294"/>
      <c r="D944" s="2294"/>
      <c r="E944" s="1461"/>
      <c r="R944" s="1462"/>
      <c r="S944" s="1462"/>
      <c r="T944" s="1462"/>
      <c r="U944" s="1462"/>
      <c r="V944" s="1462"/>
      <c r="W944" s="1462"/>
      <c r="X944" s="1462"/>
      <c r="Y944" s="1462"/>
    </row>
    <row r="945" spans="1:25" x14ac:dyDescent="0.3">
      <c r="A945" s="2294"/>
      <c r="B945" s="2294"/>
      <c r="C945" s="2294"/>
      <c r="D945" s="2294"/>
      <c r="E945" s="1461"/>
      <c r="R945" s="1462"/>
      <c r="S945" s="1462"/>
      <c r="T945" s="1462"/>
      <c r="U945" s="1462"/>
      <c r="V945" s="1462"/>
      <c r="W945" s="1462"/>
      <c r="X945" s="1462"/>
      <c r="Y945" s="1462"/>
    </row>
    <row r="946" spans="1:25" x14ac:dyDescent="0.3">
      <c r="A946" s="2294"/>
      <c r="B946" s="2294"/>
      <c r="C946" s="2294"/>
      <c r="D946" s="2294"/>
      <c r="E946" s="1461"/>
      <c r="R946" s="1462"/>
      <c r="S946" s="1462"/>
      <c r="T946" s="1462"/>
      <c r="U946" s="1462"/>
      <c r="V946" s="1462"/>
      <c r="W946" s="1462"/>
      <c r="X946" s="1462"/>
      <c r="Y946" s="1462"/>
    </row>
    <row r="947" spans="1:25" x14ac:dyDescent="0.3">
      <c r="A947" s="2294"/>
      <c r="B947" s="2294"/>
      <c r="C947" s="2294"/>
      <c r="D947" s="2294"/>
      <c r="E947" s="1461"/>
      <c r="R947" s="1462"/>
      <c r="S947" s="1462"/>
      <c r="T947" s="1462"/>
      <c r="U947" s="1462"/>
      <c r="V947" s="1462"/>
      <c r="W947" s="1462"/>
      <c r="X947" s="1462"/>
      <c r="Y947" s="1462"/>
    </row>
    <row r="948" spans="1:25" x14ac:dyDescent="0.3">
      <c r="A948" s="2294"/>
      <c r="B948" s="2294"/>
      <c r="C948" s="2294"/>
      <c r="D948" s="2294"/>
      <c r="E948" s="1461"/>
      <c r="R948" s="1462"/>
      <c r="S948" s="1462"/>
      <c r="T948" s="1462"/>
      <c r="U948" s="1462"/>
      <c r="V948" s="1462"/>
      <c r="W948" s="1462"/>
      <c r="X948" s="1462"/>
      <c r="Y948" s="1462"/>
    </row>
    <row r="949" spans="1:25" x14ac:dyDescent="0.3">
      <c r="A949" s="2294"/>
      <c r="B949" s="2294"/>
      <c r="C949" s="2294"/>
      <c r="D949" s="2294"/>
      <c r="E949" s="1461"/>
      <c r="R949" s="1462"/>
      <c r="S949" s="1462"/>
      <c r="T949" s="1462"/>
      <c r="U949" s="1462"/>
      <c r="V949" s="1462"/>
      <c r="W949" s="1462"/>
      <c r="X949" s="1462"/>
      <c r="Y949" s="1462"/>
    </row>
    <row r="950" spans="1:25" x14ac:dyDescent="0.3">
      <c r="A950" s="2294"/>
      <c r="B950" s="2294"/>
      <c r="C950" s="2294"/>
      <c r="D950" s="2294"/>
      <c r="E950" s="1461"/>
      <c r="R950" s="1462"/>
      <c r="S950" s="1462"/>
      <c r="T950" s="1462"/>
      <c r="U950" s="1462"/>
      <c r="V950" s="1462"/>
      <c r="W950" s="1462"/>
      <c r="X950" s="1462"/>
      <c r="Y950" s="1462"/>
    </row>
    <row r="951" spans="1:25" x14ac:dyDescent="0.3">
      <c r="A951" s="2294"/>
      <c r="B951" s="2294"/>
      <c r="C951" s="2294"/>
      <c r="D951" s="2294"/>
      <c r="E951" s="1461"/>
      <c r="R951" s="1462"/>
      <c r="S951" s="1462"/>
      <c r="T951" s="1462"/>
      <c r="U951" s="1462"/>
      <c r="V951" s="1462"/>
      <c r="W951" s="1462"/>
      <c r="X951" s="1462"/>
      <c r="Y951" s="1462"/>
    </row>
    <row r="952" spans="1:25" x14ac:dyDescent="0.3">
      <c r="A952" s="2294"/>
      <c r="B952" s="2294"/>
      <c r="C952" s="2294"/>
      <c r="D952" s="2294"/>
      <c r="E952" s="1461"/>
      <c r="R952" s="1462"/>
      <c r="S952" s="1462"/>
      <c r="T952" s="1462"/>
      <c r="U952" s="1462"/>
      <c r="V952" s="1462"/>
      <c r="W952" s="1462"/>
      <c r="X952" s="1462"/>
      <c r="Y952" s="1462"/>
    </row>
    <row r="953" spans="1:25" x14ac:dyDescent="0.3">
      <c r="A953" s="2294"/>
      <c r="B953" s="2294"/>
      <c r="C953" s="2294"/>
      <c r="D953" s="2294"/>
      <c r="E953" s="1461"/>
      <c r="R953" s="1462"/>
      <c r="S953" s="1462"/>
      <c r="T953" s="1462"/>
      <c r="U953" s="1462"/>
      <c r="V953" s="1462"/>
      <c r="W953" s="1462"/>
      <c r="X953" s="1462"/>
      <c r="Y953" s="1462"/>
    </row>
    <row r="954" spans="1:25" x14ac:dyDescent="0.3">
      <c r="A954" s="2294"/>
      <c r="B954" s="2294"/>
      <c r="C954" s="2294"/>
      <c r="D954" s="2294"/>
      <c r="E954" s="1461"/>
      <c r="R954" s="1462"/>
      <c r="S954" s="1462"/>
      <c r="T954" s="1462"/>
      <c r="U954" s="1462"/>
      <c r="V954" s="1462"/>
      <c r="W954" s="1462"/>
      <c r="X954" s="1462"/>
      <c r="Y954" s="1462"/>
    </row>
    <row r="955" spans="1:25" x14ac:dyDescent="0.3">
      <c r="A955" s="2294"/>
      <c r="B955" s="2294"/>
      <c r="C955" s="2294"/>
      <c r="D955" s="2294"/>
      <c r="E955" s="1461"/>
      <c r="R955" s="1462"/>
      <c r="S955" s="1462"/>
      <c r="T955" s="1462"/>
      <c r="U955" s="1462"/>
      <c r="V955" s="1462"/>
      <c r="W955" s="1462"/>
      <c r="X955" s="1462"/>
      <c r="Y955" s="1462"/>
    </row>
    <row r="956" spans="1:25" x14ac:dyDescent="0.3">
      <c r="A956" s="2294"/>
      <c r="B956" s="2294"/>
      <c r="C956" s="2294"/>
      <c r="D956" s="2294"/>
      <c r="E956" s="1461"/>
      <c r="R956" s="1462"/>
      <c r="S956" s="1462"/>
      <c r="T956" s="1462"/>
      <c r="U956" s="1462"/>
      <c r="V956" s="1462"/>
      <c r="W956" s="1462"/>
      <c r="X956" s="1462"/>
      <c r="Y956" s="1462"/>
    </row>
    <row r="957" spans="1:25" x14ac:dyDescent="0.3">
      <c r="A957" s="2294"/>
      <c r="B957" s="2294"/>
      <c r="C957" s="2294"/>
      <c r="D957" s="2294"/>
      <c r="E957" s="1461"/>
      <c r="R957" s="1462"/>
      <c r="S957" s="1462"/>
      <c r="T957" s="1462"/>
      <c r="U957" s="1462"/>
      <c r="V957" s="1462"/>
      <c r="W957" s="1462"/>
      <c r="X957" s="1462"/>
      <c r="Y957" s="1462"/>
    </row>
    <row r="958" spans="1:25" x14ac:dyDescent="0.3">
      <c r="A958" s="2294"/>
      <c r="B958" s="2294"/>
      <c r="C958" s="2294"/>
      <c r="D958" s="2294"/>
      <c r="E958" s="1461"/>
      <c r="R958" s="1462"/>
      <c r="S958" s="1462"/>
      <c r="T958" s="1462"/>
      <c r="U958" s="1462"/>
      <c r="V958" s="1462"/>
      <c r="W958" s="1462"/>
      <c r="X958" s="1462"/>
      <c r="Y958" s="1462"/>
    </row>
    <row r="959" spans="1:25" x14ac:dyDescent="0.3">
      <c r="A959" s="2294"/>
      <c r="B959" s="2294"/>
      <c r="C959" s="2294"/>
      <c r="D959" s="2294"/>
      <c r="E959" s="1461"/>
      <c r="R959" s="1462"/>
      <c r="S959" s="1462"/>
      <c r="T959" s="1462"/>
      <c r="U959" s="1462"/>
      <c r="V959" s="1462"/>
      <c r="W959" s="1462"/>
      <c r="X959" s="1462"/>
      <c r="Y959" s="1462"/>
    </row>
    <row r="960" spans="1:25" x14ac:dyDescent="0.3">
      <c r="A960" s="2294"/>
      <c r="B960" s="2294"/>
      <c r="C960" s="2294"/>
      <c r="D960" s="2294"/>
      <c r="E960" s="1461"/>
      <c r="R960" s="1462"/>
      <c r="S960" s="1462"/>
      <c r="T960" s="1462"/>
      <c r="U960" s="1462"/>
      <c r="V960" s="1462"/>
      <c r="W960" s="1462"/>
      <c r="X960" s="1462"/>
      <c r="Y960" s="1462"/>
    </row>
    <row r="961" spans="1:25" x14ac:dyDescent="0.3">
      <c r="A961" s="2294"/>
      <c r="B961" s="2294"/>
      <c r="C961" s="2294"/>
      <c r="D961" s="2294"/>
      <c r="E961" s="1461"/>
      <c r="R961" s="1462"/>
      <c r="S961" s="1462"/>
      <c r="T961" s="1462"/>
      <c r="U961" s="1462"/>
      <c r="V961" s="1462"/>
      <c r="W961" s="1462"/>
      <c r="X961" s="1462"/>
      <c r="Y961" s="1462"/>
    </row>
    <row r="962" spans="1:25" x14ac:dyDescent="0.3">
      <c r="A962" s="2294"/>
      <c r="B962" s="2294"/>
      <c r="C962" s="2294"/>
      <c r="D962" s="2294"/>
      <c r="E962" s="1461"/>
      <c r="R962" s="1462"/>
      <c r="S962" s="1462"/>
      <c r="T962" s="1462"/>
      <c r="U962" s="1462"/>
      <c r="V962" s="1462"/>
      <c r="W962" s="1462"/>
      <c r="X962" s="1462"/>
      <c r="Y962" s="1462"/>
    </row>
    <row r="963" spans="1:25" x14ac:dyDescent="0.3">
      <c r="A963" s="2294"/>
      <c r="B963" s="2294"/>
      <c r="C963" s="2294"/>
      <c r="D963" s="2294"/>
      <c r="E963" s="1461"/>
      <c r="R963" s="1462"/>
      <c r="S963" s="1462"/>
      <c r="T963" s="1462"/>
      <c r="U963" s="1462"/>
      <c r="V963" s="1462"/>
      <c r="W963" s="1462"/>
      <c r="X963" s="1462"/>
      <c r="Y963" s="1462"/>
    </row>
    <row r="964" spans="1:25" x14ac:dyDescent="0.3">
      <c r="A964" s="2294"/>
      <c r="B964" s="2294"/>
      <c r="C964" s="2294"/>
      <c r="D964" s="2294"/>
      <c r="E964" s="1461"/>
      <c r="R964" s="1462"/>
      <c r="S964" s="1462"/>
      <c r="T964" s="1462"/>
      <c r="U964" s="1462"/>
      <c r="V964" s="1462"/>
      <c r="W964" s="1462"/>
      <c r="X964" s="1462"/>
      <c r="Y964" s="1462"/>
    </row>
    <row r="965" spans="1:25" x14ac:dyDescent="0.3">
      <c r="A965" s="2294"/>
      <c r="B965" s="2294"/>
      <c r="C965" s="2294"/>
      <c r="D965" s="2294"/>
      <c r="E965" s="1461"/>
      <c r="R965" s="1462"/>
      <c r="S965" s="1462"/>
      <c r="T965" s="1462"/>
      <c r="U965" s="1462"/>
      <c r="V965" s="1462"/>
      <c r="W965" s="1462"/>
      <c r="X965" s="1462"/>
      <c r="Y965" s="1462"/>
    </row>
    <row r="966" spans="1:25" x14ac:dyDescent="0.3">
      <c r="A966" s="2294"/>
      <c r="B966" s="2294"/>
      <c r="C966" s="2294"/>
      <c r="D966" s="2294"/>
      <c r="E966" s="1461"/>
      <c r="R966" s="1462"/>
      <c r="S966" s="1462"/>
      <c r="T966" s="1462"/>
      <c r="U966" s="1462"/>
      <c r="V966" s="1462"/>
      <c r="W966" s="1462"/>
      <c r="X966" s="1462"/>
      <c r="Y966" s="1462"/>
    </row>
    <row r="967" spans="1:25" x14ac:dyDescent="0.3">
      <c r="A967" s="2294"/>
      <c r="B967" s="2294"/>
      <c r="C967" s="2294"/>
      <c r="D967" s="2294"/>
      <c r="E967" s="1461"/>
      <c r="R967" s="1462"/>
      <c r="S967" s="1462"/>
      <c r="T967" s="1462"/>
      <c r="U967" s="1462"/>
      <c r="V967" s="1462"/>
      <c r="W967" s="1462"/>
      <c r="X967" s="1462"/>
      <c r="Y967" s="1462"/>
    </row>
    <row r="968" spans="1:25" x14ac:dyDescent="0.3">
      <c r="A968" s="2294"/>
      <c r="B968" s="2294"/>
      <c r="C968" s="2294"/>
      <c r="D968" s="2294"/>
      <c r="E968" s="1461"/>
      <c r="R968" s="1462"/>
      <c r="S968" s="1462"/>
      <c r="T968" s="1462"/>
      <c r="U968" s="1462"/>
      <c r="V968" s="1462"/>
      <c r="W968" s="1462"/>
      <c r="X968" s="1462"/>
      <c r="Y968" s="1462"/>
    </row>
    <row r="969" spans="1:25" x14ac:dyDescent="0.3">
      <c r="A969" s="2294"/>
      <c r="B969" s="2294"/>
      <c r="C969" s="2294"/>
      <c r="D969" s="2294"/>
      <c r="E969" s="1461"/>
      <c r="R969" s="1462"/>
      <c r="S969" s="1462"/>
      <c r="T969" s="1462"/>
      <c r="U969" s="1462"/>
      <c r="V969" s="1462"/>
      <c r="W969" s="1462"/>
      <c r="X969" s="1462"/>
      <c r="Y969" s="1462"/>
    </row>
    <row r="970" spans="1:25" x14ac:dyDescent="0.3">
      <c r="A970" s="2294"/>
      <c r="B970" s="2294"/>
      <c r="C970" s="2294"/>
      <c r="D970" s="2294"/>
      <c r="E970" s="1461"/>
      <c r="R970" s="1462"/>
      <c r="S970" s="1462"/>
      <c r="T970" s="1462"/>
      <c r="U970" s="1462"/>
      <c r="V970" s="1462"/>
      <c r="W970" s="1462"/>
      <c r="X970" s="1462"/>
      <c r="Y970" s="1462"/>
    </row>
    <row r="971" spans="1:25" x14ac:dyDescent="0.3">
      <c r="A971" s="2294"/>
      <c r="B971" s="2294"/>
      <c r="C971" s="2294"/>
      <c r="D971" s="2294"/>
      <c r="E971" s="1461"/>
      <c r="R971" s="1462"/>
      <c r="S971" s="1462"/>
      <c r="T971" s="1462"/>
      <c r="U971" s="1462"/>
      <c r="V971" s="1462"/>
      <c r="W971" s="1462"/>
      <c r="X971" s="1462"/>
      <c r="Y971" s="1462"/>
    </row>
    <row r="972" spans="1:25" x14ac:dyDescent="0.3">
      <c r="A972" s="2294"/>
      <c r="B972" s="2294"/>
      <c r="C972" s="2294"/>
      <c r="D972" s="2294"/>
      <c r="E972" s="1461"/>
      <c r="R972" s="1462"/>
      <c r="S972" s="1462"/>
      <c r="T972" s="1462"/>
      <c r="U972" s="1462"/>
      <c r="V972" s="1462"/>
      <c r="W972" s="1462"/>
      <c r="X972" s="1462"/>
      <c r="Y972" s="1462"/>
    </row>
    <row r="973" spans="1:25" x14ac:dyDescent="0.3">
      <c r="A973" s="2294"/>
      <c r="B973" s="2294"/>
      <c r="C973" s="2294"/>
      <c r="D973" s="2294"/>
      <c r="E973" s="1461"/>
      <c r="R973" s="1462"/>
      <c r="S973" s="1462"/>
      <c r="T973" s="1462"/>
      <c r="U973" s="1462"/>
      <c r="V973" s="1462"/>
      <c r="W973" s="1462"/>
      <c r="X973" s="1462"/>
      <c r="Y973" s="1462"/>
    </row>
    <row r="974" spans="1:25" x14ac:dyDescent="0.3">
      <c r="A974" s="2294"/>
      <c r="B974" s="2294"/>
      <c r="C974" s="2294"/>
      <c r="D974" s="2294"/>
      <c r="E974" s="1461"/>
      <c r="R974" s="1462"/>
      <c r="S974" s="1462"/>
      <c r="T974" s="1462"/>
      <c r="U974" s="1462"/>
      <c r="V974" s="1462"/>
      <c r="W974" s="1462"/>
      <c r="X974" s="1462"/>
      <c r="Y974" s="1462"/>
    </row>
    <row r="975" spans="1:25" x14ac:dyDescent="0.3">
      <c r="A975" s="2294"/>
      <c r="B975" s="2294"/>
      <c r="C975" s="2294"/>
      <c r="D975" s="2294"/>
      <c r="E975" s="1461"/>
      <c r="R975" s="1462"/>
      <c r="S975" s="1462"/>
      <c r="T975" s="1462"/>
      <c r="U975" s="1462"/>
      <c r="V975" s="1462"/>
      <c r="W975" s="1462"/>
      <c r="X975" s="1462"/>
      <c r="Y975" s="1462"/>
    </row>
    <row r="976" spans="1:25" x14ac:dyDescent="0.3">
      <c r="A976" s="2294"/>
      <c r="B976" s="2294"/>
      <c r="C976" s="2294"/>
      <c r="D976" s="2294"/>
      <c r="E976" s="1461"/>
      <c r="R976" s="1462"/>
      <c r="S976" s="1462"/>
      <c r="T976" s="1462"/>
      <c r="U976" s="1462"/>
      <c r="V976" s="1462"/>
      <c r="W976" s="1462"/>
      <c r="X976" s="1462"/>
      <c r="Y976" s="1462"/>
    </row>
    <row r="977" spans="1:25" x14ac:dyDescent="0.3">
      <c r="A977" s="2294"/>
      <c r="B977" s="2294"/>
      <c r="C977" s="2294"/>
      <c r="D977" s="2294"/>
      <c r="E977" s="1461"/>
      <c r="R977" s="1462"/>
      <c r="S977" s="1462"/>
      <c r="T977" s="1462"/>
      <c r="U977" s="1462"/>
      <c r="V977" s="1462"/>
      <c r="W977" s="1462"/>
      <c r="X977" s="1462"/>
      <c r="Y977" s="1462"/>
    </row>
    <row r="978" spans="1:25" x14ac:dyDescent="0.3">
      <c r="A978" s="2294"/>
      <c r="B978" s="2294"/>
      <c r="C978" s="2294"/>
      <c r="D978" s="2294"/>
      <c r="E978" s="1461"/>
      <c r="R978" s="1462"/>
      <c r="S978" s="1462"/>
      <c r="T978" s="1462"/>
      <c r="U978" s="1462"/>
      <c r="V978" s="1462"/>
      <c r="W978" s="1462"/>
      <c r="X978" s="1462"/>
      <c r="Y978" s="1462"/>
    </row>
    <row r="979" spans="1:25" x14ac:dyDescent="0.3">
      <c r="A979" s="2294"/>
      <c r="B979" s="2294"/>
      <c r="C979" s="2294"/>
      <c r="D979" s="2294"/>
      <c r="E979" s="1461"/>
      <c r="R979" s="1462"/>
      <c r="S979" s="1462"/>
      <c r="T979" s="1462"/>
      <c r="U979" s="1462"/>
      <c r="V979" s="1462"/>
      <c r="W979" s="1462"/>
      <c r="X979" s="1462"/>
      <c r="Y979" s="1462"/>
    </row>
    <row r="980" spans="1:25" x14ac:dyDescent="0.3">
      <c r="A980" s="2294"/>
      <c r="B980" s="2294"/>
      <c r="C980" s="2294"/>
      <c r="D980" s="2294"/>
      <c r="E980" s="1461"/>
      <c r="R980" s="1462"/>
      <c r="S980" s="1462"/>
      <c r="T980" s="1462"/>
      <c r="U980" s="1462"/>
      <c r="V980" s="1462"/>
      <c r="W980" s="1462"/>
      <c r="X980" s="1462"/>
      <c r="Y980" s="1462"/>
    </row>
    <row r="981" spans="1:25" x14ac:dyDescent="0.3">
      <c r="A981" s="2294"/>
      <c r="B981" s="2294"/>
      <c r="C981" s="2294"/>
      <c r="D981" s="2294"/>
      <c r="E981" s="1461"/>
      <c r="R981" s="1462"/>
      <c r="S981" s="1462"/>
      <c r="T981" s="1462"/>
      <c r="U981" s="1462"/>
      <c r="V981" s="1462"/>
      <c r="W981" s="1462"/>
      <c r="X981" s="1462"/>
      <c r="Y981" s="1462"/>
    </row>
    <row r="982" spans="1:25" x14ac:dyDescent="0.3">
      <c r="A982" s="2294"/>
      <c r="B982" s="2294"/>
      <c r="C982" s="2294"/>
      <c r="D982" s="2294"/>
      <c r="E982" s="1461"/>
      <c r="R982" s="1462"/>
      <c r="S982" s="1462"/>
      <c r="T982" s="1462"/>
      <c r="U982" s="1462"/>
      <c r="V982" s="1462"/>
      <c r="W982" s="1462"/>
      <c r="X982" s="1462"/>
      <c r="Y982" s="1462"/>
    </row>
    <row r="983" spans="1:25" x14ac:dyDescent="0.3">
      <c r="A983" s="2294"/>
      <c r="B983" s="2294"/>
      <c r="C983" s="2294"/>
      <c r="D983" s="2294"/>
      <c r="E983" s="1461"/>
      <c r="R983" s="1462"/>
      <c r="S983" s="1462"/>
      <c r="T983" s="1462"/>
      <c r="U983" s="1462"/>
      <c r="V983" s="1462"/>
      <c r="W983" s="1462"/>
      <c r="X983" s="1462"/>
      <c r="Y983" s="1462"/>
    </row>
    <row r="984" spans="1:25" x14ac:dyDescent="0.3">
      <c r="A984" s="2294"/>
      <c r="B984" s="2294"/>
      <c r="C984" s="2294"/>
      <c r="D984" s="2294"/>
      <c r="E984" s="1461"/>
      <c r="R984" s="1462"/>
      <c r="S984" s="1462"/>
      <c r="T984" s="1462"/>
      <c r="U984" s="1462"/>
      <c r="V984" s="1462"/>
      <c r="W984" s="1462"/>
      <c r="X984" s="1462"/>
      <c r="Y984" s="1462"/>
    </row>
    <row r="985" spans="1:25" x14ac:dyDescent="0.3">
      <c r="A985" s="2294"/>
      <c r="B985" s="2294"/>
      <c r="C985" s="2294"/>
      <c r="D985" s="2294"/>
      <c r="E985" s="1461"/>
      <c r="R985" s="1462"/>
      <c r="S985" s="1462"/>
      <c r="T985" s="1462"/>
      <c r="U985" s="1462"/>
      <c r="V985" s="1462"/>
      <c r="W985" s="1462"/>
      <c r="X985" s="1462"/>
      <c r="Y985" s="1462"/>
    </row>
    <row r="986" spans="1:25" x14ac:dyDescent="0.3">
      <c r="A986" s="2294"/>
      <c r="B986" s="2294"/>
      <c r="C986" s="2294"/>
      <c r="D986" s="2294"/>
      <c r="E986" s="1461"/>
      <c r="R986" s="1462"/>
      <c r="S986" s="1462"/>
      <c r="T986" s="1462"/>
      <c r="U986" s="1462"/>
      <c r="V986" s="1462"/>
      <c r="W986" s="1462"/>
      <c r="X986" s="1462"/>
      <c r="Y986" s="1462"/>
    </row>
    <row r="987" spans="1:25" x14ac:dyDescent="0.3">
      <c r="A987" s="2294"/>
      <c r="B987" s="2294"/>
      <c r="C987" s="2294"/>
      <c r="D987" s="2294"/>
      <c r="E987" s="1461"/>
      <c r="R987" s="1462"/>
      <c r="S987" s="1462"/>
      <c r="T987" s="1462"/>
      <c r="U987" s="1462"/>
      <c r="V987" s="1462"/>
      <c r="W987" s="1462"/>
      <c r="X987" s="1462"/>
      <c r="Y987" s="1462"/>
    </row>
    <row r="988" spans="1:25" x14ac:dyDescent="0.3">
      <c r="A988" s="2294"/>
      <c r="B988" s="2294"/>
      <c r="C988" s="2294"/>
      <c r="D988" s="2294"/>
      <c r="E988" s="1461"/>
      <c r="R988" s="1462"/>
      <c r="S988" s="1462"/>
      <c r="T988" s="1462"/>
      <c r="U988" s="1462"/>
      <c r="V988" s="1462"/>
      <c r="W988" s="1462"/>
      <c r="X988" s="1462"/>
      <c r="Y988" s="1462"/>
    </row>
    <row r="989" spans="1:25" x14ac:dyDescent="0.3">
      <c r="A989" s="2294"/>
      <c r="B989" s="2294"/>
      <c r="C989" s="2294"/>
      <c r="D989" s="2294"/>
      <c r="E989" s="1461"/>
      <c r="R989" s="1462"/>
      <c r="S989" s="1462"/>
      <c r="T989" s="1462"/>
      <c r="U989" s="1462"/>
      <c r="V989" s="1462"/>
      <c r="W989" s="1462"/>
      <c r="X989" s="1462"/>
      <c r="Y989" s="1462"/>
    </row>
    <row r="990" spans="1:25" x14ac:dyDescent="0.3">
      <c r="A990" s="2294"/>
      <c r="B990" s="2294"/>
      <c r="C990" s="2294"/>
      <c r="D990" s="2294"/>
      <c r="E990" s="1461"/>
      <c r="R990" s="1462"/>
      <c r="S990" s="1462"/>
      <c r="T990" s="1462"/>
      <c r="U990" s="1462"/>
      <c r="V990" s="1462"/>
      <c r="W990" s="1462"/>
      <c r="X990" s="1462"/>
      <c r="Y990" s="1462"/>
    </row>
    <row r="991" spans="1:25" x14ac:dyDescent="0.3">
      <c r="A991" s="2294"/>
      <c r="B991" s="2294"/>
      <c r="C991" s="2294"/>
      <c r="D991" s="2294"/>
      <c r="E991" s="1461"/>
      <c r="R991" s="1462"/>
      <c r="S991" s="1462"/>
      <c r="T991" s="1462"/>
      <c r="U991" s="1462"/>
      <c r="V991" s="1462"/>
      <c r="W991" s="1462"/>
      <c r="X991" s="1462"/>
      <c r="Y991" s="1462"/>
    </row>
    <row r="992" spans="1:25" x14ac:dyDescent="0.3">
      <c r="A992" s="2294"/>
      <c r="B992" s="2294"/>
      <c r="C992" s="2294"/>
      <c r="D992" s="2294"/>
      <c r="E992" s="1461"/>
      <c r="R992" s="1462"/>
      <c r="S992" s="1462"/>
      <c r="T992" s="1462"/>
      <c r="U992" s="1462"/>
      <c r="V992" s="1462"/>
      <c r="W992" s="1462"/>
      <c r="X992" s="1462"/>
      <c r="Y992" s="1462"/>
    </row>
    <row r="993" spans="1:25" x14ac:dyDescent="0.3">
      <c r="A993" s="2294"/>
      <c r="B993" s="2294"/>
      <c r="C993" s="2294"/>
      <c r="D993" s="2294"/>
      <c r="E993" s="1461"/>
      <c r="R993" s="1462"/>
      <c r="S993" s="1462"/>
      <c r="T993" s="1462"/>
      <c r="U993" s="1462"/>
      <c r="V993" s="1462"/>
      <c r="W993" s="1462"/>
      <c r="X993" s="1462"/>
      <c r="Y993" s="1462"/>
    </row>
    <row r="994" spans="1:25" x14ac:dyDescent="0.3">
      <c r="A994" s="2294"/>
      <c r="B994" s="2294"/>
      <c r="C994" s="2294"/>
      <c r="D994" s="2294"/>
      <c r="E994" s="1461"/>
      <c r="R994" s="1462"/>
      <c r="S994" s="1462"/>
      <c r="T994" s="1462"/>
      <c r="U994" s="1462"/>
      <c r="V994" s="1462"/>
      <c r="W994" s="1462"/>
      <c r="X994" s="1462"/>
      <c r="Y994" s="1462"/>
    </row>
    <row r="995" spans="1:25" x14ac:dyDescent="0.3">
      <c r="A995" s="2294"/>
      <c r="B995" s="2294"/>
      <c r="C995" s="2294"/>
      <c r="D995" s="2294"/>
      <c r="E995" s="1461"/>
      <c r="R995" s="1462"/>
      <c r="S995" s="1462"/>
      <c r="T995" s="1462"/>
      <c r="U995" s="1462"/>
      <c r="V995" s="1462"/>
      <c r="W995" s="1462"/>
      <c r="X995" s="1462"/>
      <c r="Y995" s="1462"/>
    </row>
    <row r="996" spans="1:25" x14ac:dyDescent="0.3">
      <c r="A996" s="2294"/>
      <c r="B996" s="2294"/>
      <c r="C996" s="2294"/>
      <c r="D996" s="2294"/>
      <c r="E996" s="1461"/>
      <c r="R996" s="1462"/>
      <c r="S996" s="1462"/>
      <c r="T996" s="1462"/>
      <c r="U996" s="1462"/>
      <c r="V996" s="1462"/>
      <c r="W996" s="1462"/>
      <c r="X996" s="1462"/>
      <c r="Y996" s="1462"/>
    </row>
    <row r="997" spans="1:25" x14ac:dyDescent="0.3">
      <c r="A997" s="2294"/>
      <c r="B997" s="2294"/>
      <c r="C997" s="2294"/>
      <c r="D997" s="2294"/>
      <c r="E997" s="1461"/>
      <c r="R997" s="1462"/>
      <c r="S997" s="1462"/>
      <c r="T997" s="1462"/>
      <c r="U997" s="1462"/>
      <c r="V997" s="1462"/>
      <c r="W997" s="1462"/>
      <c r="X997" s="1462"/>
      <c r="Y997" s="1462"/>
    </row>
    <row r="998" spans="1:25" x14ac:dyDescent="0.3">
      <c r="A998" s="2294"/>
      <c r="B998" s="2294"/>
      <c r="C998" s="2294"/>
      <c r="D998" s="2294"/>
      <c r="E998" s="1461"/>
      <c r="R998" s="1462"/>
      <c r="S998" s="1462"/>
      <c r="T998" s="1462"/>
      <c r="U998" s="1462"/>
      <c r="V998" s="1462"/>
      <c r="W998" s="1462"/>
      <c r="X998" s="1462"/>
      <c r="Y998" s="1462"/>
    </row>
    <row r="999" spans="1:25" x14ac:dyDescent="0.3">
      <c r="A999" s="2294"/>
      <c r="B999" s="2294"/>
      <c r="C999" s="2294"/>
      <c r="D999" s="2294"/>
      <c r="E999" s="1461"/>
      <c r="R999" s="1462"/>
      <c r="S999" s="1462"/>
      <c r="T999" s="1462"/>
      <c r="U999" s="1462"/>
      <c r="V999" s="1462"/>
      <c r="W999" s="1462"/>
      <c r="X999" s="1462"/>
      <c r="Y999" s="1462"/>
    </row>
    <row r="1000" spans="1:25" x14ac:dyDescent="0.3">
      <c r="A1000" s="2294"/>
      <c r="B1000" s="2294"/>
      <c r="C1000" s="2294"/>
      <c r="D1000" s="2294"/>
      <c r="E1000" s="1461"/>
      <c r="R1000" s="1462"/>
      <c r="S1000" s="1462"/>
      <c r="T1000" s="1462"/>
      <c r="U1000" s="1462"/>
      <c r="V1000" s="1462"/>
      <c r="W1000" s="1462"/>
      <c r="X1000" s="1462"/>
      <c r="Y1000" s="1462"/>
    </row>
    <row r="1001" spans="1:25" x14ac:dyDescent="0.3">
      <c r="A1001" s="2294"/>
      <c r="B1001" s="2294"/>
      <c r="C1001" s="2294"/>
      <c r="D1001" s="2294"/>
      <c r="E1001" s="1461"/>
      <c r="R1001" s="1462"/>
      <c r="S1001" s="1462"/>
      <c r="T1001" s="1462"/>
      <c r="U1001" s="1462"/>
      <c r="V1001" s="1462"/>
      <c r="W1001" s="1462"/>
      <c r="X1001" s="1462"/>
      <c r="Y1001" s="1462"/>
    </row>
    <row r="1002" spans="1:25" x14ac:dyDescent="0.3">
      <c r="A1002" s="2294"/>
      <c r="B1002" s="2294"/>
      <c r="C1002" s="2294"/>
      <c r="D1002" s="2294"/>
      <c r="E1002" s="1461"/>
      <c r="R1002" s="1462"/>
      <c r="S1002" s="1462"/>
      <c r="T1002" s="1462"/>
      <c r="U1002" s="1462"/>
      <c r="V1002" s="1462"/>
      <c r="W1002" s="1462"/>
      <c r="X1002" s="1462"/>
      <c r="Y1002" s="1462"/>
    </row>
    <row r="1003" spans="1:25" x14ac:dyDescent="0.3">
      <c r="A1003" s="2294"/>
      <c r="B1003" s="2294"/>
      <c r="C1003" s="2294"/>
      <c r="D1003" s="2294"/>
      <c r="E1003" s="1461"/>
      <c r="R1003" s="1462"/>
      <c r="S1003" s="1462"/>
      <c r="T1003" s="1462"/>
      <c r="U1003" s="1462"/>
      <c r="V1003" s="1462"/>
      <c r="W1003" s="1462"/>
      <c r="X1003" s="1462"/>
      <c r="Y1003" s="1462"/>
    </row>
    <row r="1004" spans="1:25" x14ac:dyDescent="0.3">
      <c r="A1004" s="2294"/>
      <c r="B1004" s="2294"/>
      <c r="C1004" s="2294"/>
      <c r="D1004" s="2294"/>
      <c r="E1004" s="1461"/>
      <c r="R1004" s="1462"/>
      <c r="S1004" s="1462"/>
      <c r="T1004" s="1462"/>
      <c r="U1004" s="1462"/>
      <c r="V1004" s="1462"/>
      <c r="W1004" s="1462"/>
      <c r="X1004" s="1462"/>
      <c r="Y1004" s="1462"/>
    </row>
    <row r="1005" spans="1:25" x14ac:dyDescent="0.3">
      <c r="A1005" s="2294"/>
      <c r="B1005" s="2294"/>
      <c r="C1005" s="2294"/>
      <c r="D1005" s="2294"/>
      <c r="E1005" s="1461"/>
      <c r="R1005" s="1462"/>
      <c r="S1005" s="1462"/>
      <c r="T1005" s="1462"/>
      <c r="U1005" s="1462"/>
      <c r="V1005" s="1462"/>
      <c r="W1005" s="1462"/>
      <c r="X1005" s="1462"/>
      <c r="Y1005" s="1462"/>
    </row>
    <row r="1006" spans="1:25" x14ac:dyDescent="0.3">
      <c r="A1006" s="2294"/>
      <c r="B1006" s="2294"/>
      <c r="C1006" s="2294"/>
      <c r="D1006" s="2294"/>
      <c r="E1006" s="1461"/>
      <c r="R1006" s="1462"/>
      <c r="S1006" s="1462"/>
      <c r="T1006" s="1462"/>
      <c r="U1006" s="1462"/>
      <c r="V1006" s="1462"/>
      <c r="W1006" s="1462"/>
      <c r="X1006" s="1462"/>
      <c r="Y1006" s="1462"/>
    </row>
    <row r="1007" spans="1:25" x14ac:dyDescent="0.3">
      <c r="A1007" s="2294"/>
      <c r="B1007" s="2294"/>
      <c r="C1007" s="2294"/>
      <c r="D1007" s="2294"/>
      <c r="E1007" s="1461"/>
      <c r="R1007" s="1462"/>
      <c r="S1007" s="1462"/>
      <c r="T1007" s="1462"/>
      <c r="U1007" s="1462"/>
      <c r="V1007" s="1462"/>
      <c r="W1007" s="1462"/>
      <c r="X1007" s="1462"/>
      <c r="Y1007" s="1462"/>
    </row>
    <row r="1008" spans="1:25" x14ac:dyDescent="0.3">
      <c r="A1008" s="2294"/>
      <c r="B1008" s="2294"/>
      <c r="C1008" s="2294"/>
      <c r="D1008" s="2294"/>
      <c r="E1008" s="1461"/>
      <c r="R1008" s="1462"/>
      <c r="S1008" s="1462"/>
      <c r="T1008" s="1462"/>
      <c r="U1008" s="1462"/>
      <c r="V1008" s="1462"/>
      <c r="W1008" s="1462"/>
      <c r="X1008" s="1462"/>
      <c r="Y1008" s="1462"/>
    </row>
    <row r="1009" spans="1:25" x14ac:dyDescent="0.3">
      <c r="A1009" s="2294"/>
      <c r="B1009" s="2294"/>
      <c r="C1009" s="2294"/>
      <c r="D1009" s="2294"/>
      <c r="E1009" s="1461"/>
      <c r="R1009" s="1462"/>
      <c r="S1009" s="1462"/>
      <c r="T1009" s="1462"/>
      <c r="U1009" s="1462"/>
      <c r="V1009" s="1462"/>
      <c r="W1009" s="1462"/>
      <c r="X1009" s="1462"/>
      <c r="Y1009" s="1462"/>
    </row>
    <row r="1010" spans="1:25" x14ac:dyDescent="0.3">
      <c r="A1010" s="2294"/>
      <c r="B1010" s="2294"/>
      <c r="C1010" s="2294"/>
      <c r="D1010" s="2294"/>
      <c r="E1010" s="1461"/>
      <c r="R1010" s="1462"/>
      <c r="S1010" s="1462"/>
      <c r="T1010" s="1462"/>
      <c r="U1010" s="1462"/>
      <c r="V1010" s="1462"/>
      <c r="W1010" s="1462"/>
      <c r="X1010" s="1462"/>
      <c r="Y1010" s="1462"/>
    </row>
    <row r="1011" spans="1:25" x14ac:dyDescent="0.3">
      <c r="A1011" s="2294"/>
      <c r="B1011" s="2294"/>
      <c r="C1011" s="2294"/>
      <c r="D1011" s="2294"/>
      <c r="E1011" s="1461"/>
      <c r="R1011" s="1462"/>
      <c r="S1011" s="1462"/>
      <c r="T1011" s="1462"/>
      <c r="U1011" s="1462"/>
      <c r="V1011" s="1462"/>
      <c r="W1011" s="1462"/>
      <c r="X1011" s="1462"/>
      <c r="Y1011" s="1462"/>
    </row>
    <row r="1012" spans="1:25" x14ac:dyDescent="0.3">
      <c r="A1012" s="2294"/>
      <c r="B1012" s="2294"/>
      <c r="C1012" s="2294"/>
      <c r="D1012" s="2294"/>
      <c r="E1012" s="1461"/>
      <c r="R1012" s="1462"/>
      <c r="S1012" s="1462"/>
      <c r="T1012" s="1462"/>
      <c r="U1012" s="1462"/>
      <c r="V1012" s="1462"/>
      <c r="W1012" s="1462"/>
      <c r="X1012" s="1462"/>
      <c r="Y1012" s="1462"/>
    </row>
    <row r="1013" spans="1:25" x14ac:dyDescent="0.3">
      <c r="A1013" s="2294"/>
      <c r="B1013" s="2294"/>
      <c r="C1013" s="2294"/>
      <c r="D1013" s="2294"/>
      <c r="E1013" s="1461"/>
      <c r="R1013" s="1462"/>
      <c r="S1013" s="1462"/>
      <c r="T1013" s="1462"/>
      <c r="U1013" s="1462"/>
      <c r="V1013" s="1462"/>
      <c r="W1013" s="1462"/>
      <c r="X1013" s="1462"/>
      <c r="Y1013" s="1462"/>
    </row>
    <row r="1014" spans="1:25" x14ac:dyDescent="0.3">
      <c r="A1014" s="2294"/>
      <c r="B1014" s="2294"/>
      <c r="C1014" s="2294"/>
      <c r="D1014" s="2294"/>
      <c r="E1014" s="1461"/>
      <c r="R1014" s="1462"/>
      <c r="S1014" s="1462"/>
      <c r="T1014" s="1462"/>
      <c r="U1014" s="1462"/>
      <c r="V1014" s="1462"/>
      <c r="W1014" s="1462"/>
      <c r="X1014" s="1462"/>
      <c r="Y1014" s="1462"/>
    </row>
    <row r="1015" spans="1:25" x14ac:dyDescent="0.3">
      <c r="A1015" s="2294"/>
      <c r="B1015" s="2294"/>
      <c r="C1015" s="2294"/>
      <c r="D1015" s="2294"/>
      <c r="E1015" s="1461"/>
      <c r="R1015" s="1462"/>
      <c r="S1015" s="1462"/>
      <c r="T1015" s="1462"/>
      <c r="U1015" s="1462"/>
      <c r="V1015" s="1462"/>
      <c r="W1015" s="1462"/>
      <c r="X1015" s="1462"/>
      <c r="Y1015" s="1462"/>
    </row>
    <row r="1016" spans="1:25" x14ac:dyDescent="0.3">
      <c r="A1016" s="2294"/>
      <c r="B1016" s="2294"/>
      <c r="C1016" s="2294"/>
      <c r="D1016" s="2294"/>
      <c r="E1016" s="1461"/>
      <c r="R1016" s="1462"/>
      <c r="S1016" s="1462"/>
      <c r="T1016" s="1462"/>
      <c r="U1016" s="1462"/>
      <c r="V1016" s="1462"/>
      <c r="W1016" s="1462"/>
      <c r="X1016" s="1462"/>
      <c r="Y1016" s="1462"/>
    </row>
    <row r="1017" spans="1:25" x14ac:dyDescent="0.3">
      <c r="A1017" s="2294"/>
      <c r="B1017" s="2294"/>
      <c r="C1017" s="2294"/>
      <c r="D1017" s="2294"/>
      <c r="E1017" s="1461"/>
      <c r="R1017" s="1462"/>
      <c r="S1017" s="1462"/>
      <c r="T1017" s="1462"/>
      <c r="U1017" s="1462"/>
      <c r="V1017" s="1462"/>
      <c r="W1017" s="1462"/>
      <c r="X1017" s="1462"/>
      <c r="Y1017" s="1462"/>
    </row>
    <row r="1018" spans="1:25" x14ac:dyDescent="0.3">
      <c r="A1018" s="2294"/>
      <c r="B1018" s="2294"/>
      <c r="C1018" s="2294"/>
      <c r="D1018" s="2294"/>
      <c r="E1018" s="1461"/>
      <c r="R1018" s="1462"/>
      <c r="S1018" s="1462"/>
      <c r="T1018" s="1462"/>
      <c r="U1018" s="1462"/>
      <c r="V1018" s="1462"/>
      <c r="W1018" s="1462"/>
      <c r="X1018" s="1462"/>
      <c r="Y1018" s="1462"/>
    </row>
    <row r="1019" spans="1:25" x14ac:dyDescent="0.3">
      <c r="A1019" s="2294"/>
      <c r="B1019" s="2294"/>
      <c r="C1019" s="2294"/>
      <c r="D1019" s="2294"/>
      <c r="E1019" s="1461"/>
      <c r="R1019" s="1462"/>
      <c r="S1019" s="1462"/>
      <c r="T1019" s="1462"/>
      <c r="U1019" s="1462"/>
      <c r="V1019" s="1462"/>
      <c r="W1019" s="1462"/>
      <c r="X1019" s="1462"/>
      <c r="Y1019" s="1462"/>
    </row>
    <row r="1020" spans="1:25" x14ac:dyDescent="0.3">
      <c r="A1020" s="2294"/>
      <c r="B1020" s="2294"/>
      <c r="C1020" s="2294"/>
      <c r="D1020" s="2294"/>
      <c r="E1020" s="1461"/>
      <c r="R1020" s="1462"/>
      <c r="S1020" s="1462"/>
      <c r="T1020" s="1462"/>
      <c r="U1020" s="1462"/>
      <c r="V1020" s="1462"/>
      <c r="W1020" s="1462"/>
      <c r="X1020" s="1462"/>
      <c r="Y1020" s="1462"/>
    </row>
    <row r="1021" spans="1:25" x14ac:dyDescent="0.3">
      <c r="A1021" s="2294"/>
      <c r="B1021" s="2294"/>
      <c r="C1021" s="2294"/>
      <c r="D1021" s="2294"/>
      <c r="E1021" s="1461"/>
      <c r="R1021" s="1462"/>
      <c r="S1021" s="1462"/>
      <c r="T1021" s="1462"/>
      <c r="U1021" s="1462"/>
      <c r="V1021" s="1462"/>
      <c r="W1021" s="1462"/>
      <c r="X1021" s="1462"/>
      <c r="Y1021" s="1462"/>
    </row>
    <row r="1022" spans="1:25" x14ac:dyDescent="0.3">
      <c r="A1022" s="2294"/>
      <c r="B1022" s="2294"/>
      <c r="C1022" s="2294"/>
      <c r="D1022" s="2294"/>
      <c r="E1022" s="1461"/>
      <c r="R1022" s="1462"/>
      <c r="S1022" s="1462"/>
      <c r="T1022" s="1462"/>
      <c r="U1022" s="1462"/>
      <c r="V1022" s="1462"/>
      <c r="W1022" s="1462"/>
      <c r="X1022" s="1462"/>
      <c r="Y1022" s="1462"/>
    </row>
    <row r="1023" spans="1:25" x14ac:dyDescent="0.3">
      <c r="A1023" s="2294"/>
      <c r="B1023" s="2294"/>
      <c r="C1023" s="2294"/>
      <c r="D1023" s="2294"/>
      <c r="E1023" s="1461"/>
      <c r="R1023" s="1462"/>
      <c r="S1023" s="1462"/>
      <c r="T1023" s="1462"/>
      <c r="U1023" s="1462"/>
      <c r="V1023" s="1462"/>
      <c r="W1023" s="1462"/>
      <c r="X1023" s="1462"/>
      <c r="Y1023" s="1462"/>
    </row>
    <row r="1024" spans="1:25" x14ac:dyDescent="0.3">
      <c r="A1024" s="2294"/>
      <c r="B1024" s="2294"/>
      <c r="C1024" s="2294"/>
      <c r="D1024" s="2294"/>
      <c r="E1024" s="1461"/>
      <c r="R1024" s="1462"/>
      <c r="S1024" s="1462"/>
      <c r="T1024" s="1462"/>
      <c r="U1024" s="1462"/>
      <c r="V1024" s="1462"/>
      <c r="W1024" s="1462"/>
      <c r="X1024" s="1462"/>
      <c r="Y1024" s="1462"/>
    </row>
    <row r="1025" spans="1:25" x14ac:dyDescent="0.3">
      <c r="A1025" s="2294"/>
      <c r="B1025" s="2294"/>
      <c r="C1025" s="2294"/>
      <c r="D1025" s="2294"/>
      <c r="E1025" s="1461"/>
      <c r="R1025" s="1462"/>
      <c r="S1025" s="1462"/>
      <c r="T1025" s="1462"/>
      <c r="U1025" s="1462"/>
      <c r="V1025" s="1462"/>
      <c r="W1025" s="1462"/>
      <c r="X1025" s="1462"/>
      <c r="Y1025" s="1462"/>
    </row>
    <row r="1026" spans="1:25" x14ac:dyDescent="0.3">
      <c r="A1026" s="2294"/>
      <c r="B1026" s="2294"/>
      <c r="C1026" s="2294"/>
      <c r="D1026" s="2294"/>
      <c r="E1026" s="1461"/>
      <c r="R1026" s="1462"/>
      <c r="S1026" s="1462"/>
      <c r="T1026" s="1462"/>
      <c r="U1026" s="1462"/>
      <c r="V1026" s="1462"/>
      <c r="W1026" s="1462"/>
      <c r="X1026" s="1462"/>
      <c r="Y1026" s="1462"/>
    </row>
    <row r="1027" spans="1:25" x14ac:dyDescent="0.3">
      <c r="A1027" s="2294"/>
      <c r="B1027" s="2294"/>
      <c r="C1027" s="2294"/>
      <c r="D1027" s="2294"/>
      <c r="E1027" s="1461"/>
      <c r="R1027" s="1462"/>
      <c r="S1027" s="1462"/>
      <c r="T1027" s="1462"/>
      <c r="U1027" s="1462"/>
      <c r="V1027" s="1462"/>
      <c r="W1027" s="1462"/>
      <c r="X1027" s="1462"/>
      <c r="Y1027" s="1462"/>
    </row>
    <row r="1028" spans="1:25" x14ac:dyDescent="0.3">
      <c r="A1028" s="2294"/>
      <c r="B1028" s="2294"/>
      <c r="C1028" s="2294"/>
      <c r="D1028" s="2294"/>
      <c r="E1028" s="1461"/>
      <c r="R1028" s="1462"/>
      <c r="S1028" s="1462"/>
      <c r="T1028" s="1462"/>
      <c r="U1028" s="1462"/>
      <c r="V1028" s="1462"/>
      <c r="W1028" s="1462"/>
      <c r="X1028" s="1462"/>
      <c r="Y1028" s="1462"/>
    </row>
    <row r="1029" spans="1:25" x14ac:dyDescent="0.3">
      <c r="A1029" s="2294"/>
      <c r="B1029" s="2294"/>
      <c r="C1029" s="2294"/>
      <c r="D1029" s="2294"/>
      <c r="E1029" s="1461"/>
      <c r="R1029" s="1462"/>
      <c r="S1029" s="1462"/>
      <c r="T1029" s="1462"/>
      <c r="U1029" s="1462"/>
      <c r="V1029" s="1462"/>
      <c r="W1029" s="1462"/>
      <c r="X1029" s="1462"/>
      <c r="Y1029" s="1462"/>
    </row>
    <row r="1030" spans="1:25" x14ac:dyDescent="0.3">
      <c r="A1030" s="2294"/>
      <c r="B1030" s="2294"/>
      <c r="C1030" s="2294"/>
      <c r="D1030" s="2294"/>
      <c r="E1030" s="1461"/>
      <c r="R1030" s="1462"/>
      <c r="S1030" s="1462"/>
      <c r="T1030" s="1462"/>
      <c r="U1030" s="1462"/>
      <c r="V1030" s="1462"/>
      <c r="W1030" s="1462"/>
      <c r="X1030" s="1462"/>
      <c r="Y1030" s="1462"/>
    </row>
    <row r="1031" spans="1:25" x14ac:dyDescent="0.3">
      <c r="A1031" s="2294"/>
      <c r="B1031" s="2294"/>
      <c r="C1031" s="2294"/>
      <c r="D1031" s="2294"/>
      <c r="E1031" s="1461"/>
      <c r="R1031" s="1462"/>
      <c r="S1031" s="1462"/>
      <c r="T1031" s="1462"/>
      <c r="U1031" s="1462"/>
      <c r="V1031" s="1462"/>
      <c r="W1031" s="1462"/>
      <c r="X1031" s="1462"/>
      <c r="Y1031" s="1462"/>
    </row>
    <row r="1032" spans="1:25" x14ac:dyDescent="0.3">
      <c r="A1032" s="2294"/>
      <c r="B1032" s="2294"/>
      <c r="C1032" s="2294"/>
      <c r="D1032" s="2294"/>
      <c r="E1032" s="1461"/>
      <c r="R1032" s="1462"/>
      <c r="S1032" s="1462"/>
      <c r="T1032" s="1462"/>
      <c r="U1032" s="1462"/>
      <c r="V1032" s="1462"/>
      <c r="W1032" s="1462"/>
      <c r="X1032" s="1462"/>
      <c r="Y1032" s="1462"/>
    </row>
    <row r="1033" spans="1:25" x14ac:dyDescent="0.3">
      <c r="A1033" s="2294"/>
      <c r="B1033" s="2294"/>
      <c r="C1033" s="2294"/>
      <c r="D1033" s="2294"/>
      <c r="E1033" s="1461"/>
      <c r="R1033" s="1462"/>
      <c r="S1033" s="1462"/>
      <c r="T1033" s="1462"/>
      <c r="U1033" s="1462"/>
      <c r="V1033" s="1462"/>
      <c r="W1033" s="1462"/>
      <c r="X1033" s="1462"/>
      <c r="Y1033" s="1462"/>
    </row>
    <row r="1034" spans="1:25" x14ac:dyDescent="0.3">
      <c r="A1034" s="2294"/>
      <c r="B1034" s="2294"/>
      <c r="C1034" s="2294"/>
      <c r="D1034" s="2294"/>
      <c r="E1034" s="1461"/>
      <c r="R1034" s="1462"/>
      <c r="S1034" s="1462"/>
      <c r="T1034" s="1462"/>
      <c r="U1034" s="1462"/>
      <c r="V1034" s="1462"/>
      <c r="W1034" s="1462"/>
      <c r="X1034" s="1462"/>
      <c r="Y1034" s="1462"/>
    </row>
    <row r="1035" spans="1:25" x14ac:dyDescent="0.3">
      <c r="A1035" s="2294"/>
      <c r="B1035" s="2294"/>
      <c r="C1035" s="2294"/>
      <c r="D1035" s="2294"/>
      <c r="E1035" s="1461"/>
      <c r="R1035" s="1462"/>
      <c r="S1035" s="1462"/>
      <c r="T1035" s="1462"/>
      <c r="U1035" s="1462"/>
      <c r="V1035" s="1462"/>
      <c r="W1035" s="1462"/>
      <c r="X1035" s="1462"/>
      <c r="Y1035" s="1462"/>
    </row>
    <row r="1036" spans="1:25" x14ac:dyDescent="0.3">
      <c r="A1036" s="2294"/>
      <c r="B1036" s="2294"/>
      <c r="C1036" s="2294"/>
      <c r="D1036" s="2294"/>
      <c r="E1036" s="1461"/>
      <c r="R1036" s="1462"/>
      <c r="S1036" s="1462"/>
      <c r="T1036" s="1462"/>
      <c r="U1036" s="1462"/>
      <c r="V1036" s="1462"/>
      <c r="W1036" s="1462"/>
      <c r="X1036" s="1462"/>
      <c r="Y1036" s="1462"/>
    </row>
    <row r="1037" spans="1:25" x14ac:dyDescent="0.3">
      <c r="A1037" s="2294"/>
      <c r="B1037" s="2294"/>
      <c r="C1037" s="2294"/>
      <c r="D1037" s="2294"/>
      <c r="E1037" s="1461"/>
      <c r="R1037" s="1462"/>
      <c r="S1037" s="1462"/>
      <c r="T1037" s="1462"/>
      <c r="U1037" s="1462"/>
      <c r="V1037" s="1462"/>
      <c r="W1037" s="1462"/>
      <c r="X1037" s="1462"/>
      <c r="Y1037" s="1462"/>
    </row>
    <row r="1038" spans="1:25" x14ac:dyDescent="0.3">
      <c r="A1038" s="2294"/>
      <c r="B1038" s="2294"/>
      <c r="C1038" s="2294"/>
      <c r="D1038" s="2294"/>
      <c r="E1038" s="1461"/>
      <c r="R1038" s="1462"/>
      <c r="S1038" s="1462"/>
      <c r="T1038" s="1462"/>
      <c r="U1038" s="1462"/>
      <c r="V1038" s="1462"/>
      <c r="W1038" s="1462"/>
      <c r="X1038" s="1462"/>
      <c r="Y1038" s="1462"/>
    </row>
    <row r="1039" spans="1:25" x14ac:dyDescent="0.3">
      <c r="A1039" s="2294"/>
      <c r="B1039" s="2294"/>
      <c r="C1039" s="2294"/>
      <c r="D1039" s="2294"/>
      <c r="E1039" s="1461"/>
      <c r="R1039" s="1462"/>
      <c r="S1039" s="1462"/>
      <c r="T1039" s="1462"/>
      <c r="U1039" s="1462"/>
      <c r="V1039" s="1462"/>
      <c r="W1039" s="1462"/>
      <c r="X1039" s="1462"/>
      <c r="Y1039" s="1462"/>
    </row>
    <row r="1040" spans="1:25" x14ac:dyDescent="0.3">
      <c r="A1040" s="2294"/>
      <c r="B1040" s="2294"/>
      <c r="C1040" s="2294"/>
      <c r="D1040" s="2294"/>
      <c r="E1040" s="1461"/>
      <c r="R1040" s="1462"/>
      <c r="S1040" s="1462"/>
      <c r="T1040" s="1462"/>
      <c r="U1040" s="1462"/>
      <c r="V1040" s="1462"/>
      <c r="W1040" s="1462"/>
      <c r="X1040" s="1462"/>
      <c r="Y1040" s="1462"/>
    </row>
    <row r="1041" spans="1:25" x14ac:dyDescent="0.3">
      <c r="A1041" s="2294"/>
      <c r="B1041" s="2294"/>
      <c r="C1041" s="2294"/>
      <c r="D1041" s="2294"/>
      <c r="E1041" s="1461"/>
      <c r="R1041" s="1462"/>
      <c r="S1041" s="1462"/>
      <c r="T1041" s="1462"/>
      <c r="U1041" s="1462"/>
      <c r="V1041" s="1462"/>
      <c r="W1041" s="1462"/>
      <c r="X1041" s="1462"/>
      <c r="Y1041" s="1462"/>
    </row>
    <row r="1042" spans="1:25" x14ac:dyDescent="0.3">
      <c r="A1042" s="2294"/>
      <c r="B1042" s="2294"/>
      <c r="C1042" s="2294"/>
      <c r="D1042" s="2294"/>
      <c r="E1042" s="1461"/>
      <c r="R1042" s="1462"/>
      <c r="S1042" s="1462"/>
      <c r="T1042" s="1462"/>
      <c r="U1042" s="1462"/>
      <c r="V1042" s="1462"/>
      <c r="W1042" s="1462"/>
      <c r="X1042" s="1462"/>
      <c r="Y1042" s="1462"/>
    </row>
    <row r="1043" spans="1:25" x14ac:dyDescent="0.3">
      <c r="A1043" s="2294"/>
      <c r="B1043" s="2294"/>
      <c r="C1043" s="2294"/>
      <c r="D1043" s="2294"/>
      <c r="E1043" s="1461"/>
      <c r="R1043" s="1462"/>
      <c r="S1043" s="1462"/>
      <c r="T1043" s="1462"/>
      <c r="U1043" s="1462"/>
      <c r="V1043" s="1462"/>
      <c r="W1043" s="1462"/>
      <c r="X1043" s="1462"/>
      <c r="Y1043" s="1462"/>
    </row>
    <row r="1044" spans="1:25" x14ac:dyDescent="0.3">
      <c r="A1044" s="2294"/>
      <c r="B1044" s="2294"/>
      <c r="C1044" s="2294"/>
      <c r="D1044" s="2294"/>
      <c r="E1044" s="1461"/>
      <c r="R1044" s="1462"/>
      <c r="S1044" s="1462"/>
      <c r="T1044" s="1462"/>
      <c r="U1044" s="1462"/>
      <c r="V1044" s="1462"/>
      <c r="W1044" s="1462"/>
      <c r="X1044" s="1462"/>
      <c r="Y1044" s="1462"/>
    </row>
    <row r="1045" spans="1:25" x14ac:dyDescent="0.3">
      <c r="A1045" s="2294"/>
      <c r="B1045" s="2294"/>
      <c r="C1045" s="2294"/>
      <c r="D1045" s="2294"/>
      <c r="E1045" s="1461"/>
      <c r="R1045" s="1462"/>
      <c r="S1045" s="1462"/>
      <c r="T1045" s="1462"/>
      <c r="U1045" s="1462"/>
      <c r="V1045" s="1462"/>
      <c r="W1045" s="1462"/>
      <c r="X1045" s="1462"/>
      <c r="Y1045" s="1462"/>
    </row>
    <row r="1046" spans="1:25" x14ac:dyDescent="0.3">
      <c r="A1046" s="2294"/>
      <c r="B1046" s="2294"/>
      <c r="C1046" s="2294"/>
      <c r="D1046" s="2294"/>
      <c r="E1046" s="1461"/>
      <c r="R1046" s="1462"/>
      <c r="S1046" s="1462"/>
      <c r="T1046" s="1462"/>
      <c r="U1046" s="1462"/>
      <c r="V1046" s="1462"/>
      <c r="W1046" s="1462"/>
      <c r="X1046" s="1462"/>
      <c r="Y1046" s="1462"/>
    </row>
    <row r="1047" spans="1:25" x14ac:dyDescent="0.3">
      <c r="A1047" s="2294"/>
      <c r="B1047" s="2294"/>
      <c r="C1047" s="2294"/>
      <c r="D1047" s="2294"/>
      <c r="E1047" s="1461"/>
      <c r="R1047" s="1462"/>
      <c r="S1047" s="1462"/>
      <c r="T1047" s="1462"/>
      <c r="U1047" s="1462"/>
      <c r="V1047" s="1462"/>
      <c r="W1047" s="1462"/>
      <c r="X1047" s="1462"/>
      <c r="Y1047" s="1462"/>
    </row>
    <row r="1048" spans="1:25" x14ac:dyDescent="0.3">
      <c r="A1048" s="2294"/>
      <c r="B1048" s="2294"/>
      <c r="C1048" s="2294"/>
      <c r="D1048" s="2294"/>
      <c r="E1048" s="1461"/>
      <c r="R1048" s="1462"/>
      <c r="S1048" s="1462"/>
      <c r="T1048" s="1462"/>
      <c r="U1048" s="1462"/>
      <c r="V1048" s="1462"/>
      <c r="W1048" s="1462"/>
      <c r="X1048" s="1462"/>
      <c r="Y1048" s="1462"/>
    </row>
    <row r="1049" spans="1:25" x14ac:dyDescent="0.3">
      <c r="A1049" s="2294"/>
      <c r="B1049" s="2294"/>
      <c r="C1049" s="2294"/>
      <c r="D1049" s="2294"/>
      <c r="E1049" s="1461"/>
      <c r="R1049" s="1462"/>
      <c r="S1049" s="1462"/>
      <c r="T1049" s="1462"/>
      <c r="U1049" s="1462"/>
      <c r="V1049" s="1462"/>
      <c r="W1049" s="1462"/>
      <c r="X1049" s="1462"/>
      <c r="Y1049" s="1462"/>
    </row>
    <row r="1050" spans="1:25" x14ac:dyDescent="0.3">
      <c r="A1050" s="2294"/>
      <c r="B1050" s="2294"/>
      <c r="C1050" s="2294"/>
      <c r="D1050" s="2294"/>
      <c r="E1050" s="1461"/>
      <c r="R1050" s="1462"/>
      <c r="S1050" s="1462"/>
      <c r="T1050" s="1462"/>
      <c r="U1050" s="1462"/>
      <c r="V1050" s="1462"/>
      <c r="W1050" s="1462"/>
      <c r="X1050" s="1462"/>
      <c r="Y1050" s="1462"/>
    </row>
    <row r="1051" spans="1:25" x14ac:dyDescent="0.3">
      <c r="A1051" s="2294"/>
      <c r="B1051" s="2294"/>
      <c r="C1051" s="2294"/>
      <c r="D1051" s="2294"/>
      <c r="E1051" s="1461"/>
      <c r="R1051" s="1462"/>
      <c r="S1051" s="1462"/>
      <c r="T1051" s="1462"/>
      <c r="U1051" s="1462"/>
      <c r="V1051" s="1462"/>
      <c r="W1051" s="1462"/>
      <c r="X1051" s="1462"/>
      <c r="Y1051" s="1462"/>
    </row>
    <row r="1052" spans="1:25" x14ac:dyDescent="0.3">
      <c r="A1052" s="2294"/>
      <c r="B1052" s="2294"/>
      <c r="C1052" s="2294"/>
      <c r="D1052" s="2294"/>
      <c r="E1052" s="1461"/>
      <c r="R1052" s="1462"/>
      <c r="S1052" s="1462"/>
      <c r="T1052" s="1462"/>
      <c r="U1052" s="1462"/>
      <c r="V1052" s="1462"/>
      <c r="W1052" s="1462"/>
      <c r="X1052" s="1462"/>
      <c r="Y1052" s="1462"/>
    </row>
    <row r="1053" spans="1:25" x14ac:dyDescent="0.3">
      <c r="A1053" s="2294"/>
      <c r="B1053" s="2294"/>
      <c r="C1053" s="2294"/>
      <c r="D1053" s="2294"/>
      <c r="E1053" s="1461"/>
      <c r="R1053" s="1462"/>
      <c r="S1053" s="1462"/>
      <c r="T1053" s="1462"/>
      <c r="U1053" s="1462"/>
      <c r="V1053" s="1462"/>
      <c r="W1053" s="1462"/>
      <c r="X1053" s="1462"/>
      <c r="Y1053" s="1462"/>
    </row>
    <row r="1054" spans="1:25" x14ac:dyDescent="0.3">
      <c r="A1054" s="2294"/>
      <c r="B1054" s="2294"/>
      <c r="C1054" s="2294"/>
      <c r="D1054" s="2294"/>
      <c r="E1054" s="1461"/>
      <c r="R1054" s="1462"/>
      <c r="S1054" s="1462"/>
      <c r="T1054" s="1462"/>
      <c r="U1054" s="1462"/>
      <c r="V1054" s="1462"/>
      <c r="W1054" s="1462"/>
      <c r="X1054" s="1462"/>
      <c r="Y1054" s="1462"/>
    </row>
    <row r="1055" spans="1:25" x14ac:dyDescent="0.3">
      <c r="A1055" s="2294"/>
      <c r="B1055" s="2294"/>
      <c r="C1055" s="2294"/>
      <c r="D1055" s="2294"/>
      <c r="E1055" s="1461"/>
      <c r="R1055" s="1462"/>
      <c r="S1055" s="1462"/>
      <c r="T1055" s="1462"/>
      <c r="U1055" s="1462"/>
      <c r="V1055" s="1462"/>
      <c r="W1055" s="1462"/>
      <c r="X1055" s="1462"/>
      <c r="Y1055" s="1462"/>
    </row>
    <row r="1056" spans="1:25" x14ac:dyDescent="0.3">
      <c r="A1056" s="2294"/>
      <c r="B1056" s="2294"/>
      <c r="C1056" s="2294"/>
      <c r="D1056" s="2294"/>
      <c r="E1056" s="1461"/>
      <c r="R1056" s="1462"/>
      <c r="S1056" s="1462"/>
      <c r="T1056" s="1462"/>
      <c r="U1056" s="1462"/>
      <c r="V1056" s="1462"/>
      <c r="W1056" s="1462"/>
      <c r="X1056" s="1462"/>
      <c r="Y1056" s="1462"/>
    </row>
    <row r="1057" spans="1:25" x14ac:dyDescent="0.3">
      <c r="A1057" s="2294"/>
      <c r="B1057" s="2294"/>
      <c r="C1057" s="2294"/>
      <c r="D1057" s="2294"/>
      <c r="E1057" s="1461"/>
      <c r="R1057" s="1462"/>
      <c r="S1057" s="1462"/>
      <c r="T1057" s="1462"/>
      <c r="U1057" s="1462"/>
      <c r="V1057" s="1462"/>
      <c r="W1057" s="1462"/>
      <c r="X1057" s="1462"/>
      <c r="Y1057" s="1462"/>
    </row>
    <row r="1058" spans="1:25" x14ac:dyDescent="0.3">
      <c r="A1058" s="2294"/>
      <c r="B1058" s="2294"/>
      <c r="C1058" s="2294"/>
      <c r="D1058" s="2294"/>
      <c r="E1058" s="1461"/>
      <c r="R1058" s="1462"/>
      <c r="S1058" s="1462"/>
      <c r="T1058" s="1462"/>
      <c r="U1058" s="1462"/>
      <c r="V1058" s="1462"/>
      <c r="W1058" s="1462"/>
      <c r="X1058" s="1462"/>
      <c r="Y1058" s="1462"/>
    </row>
    <row r="1059" spans="1:25" x14ac:dyDescent="0.3">
      <c r="A1059" s="2294"/>
      <c r="B1059" s="2294"/>
      <c r="C1059" s="2294"/>
      <c r="D1059" s="2294"/>
      <c r="E1059" s="1461"/>
      <c r="R1059" s="1462"/>
      <c r="S1059" s="1462"/>
      <c r="T1059" s="1462"/>
      <c r="U1059" s="1462"/>
      <c r="V1059" s="1462"/>
      <c r="W1059" s="1462"/>
      <c r="X1059" s="1462"/>
      <c r="Y1059" s="1462"/>
    </row>
    <row r="1060" spans="1:25" x14ac:dyDescent="0.3">
      <c r="A1060" s="2294"/>
      <c r="B1060" s="2294"/>
      <c r="C1060" s="2294"/>
      <c r="D1060" s="2294"/>
      <c r="E1060" s="1461"/>
      <c r="R1060" s="1462"/>
      <c r="S1060" s="1462"/>
      <c r="T1060" s="1462"/>
      <c r="U1060" s="1462"/>
      <c r="V1060" s="1462"/>
      <c r="W1060" s="1462"/>
      <c r="X1060" s="1462"/>
      <c r="Y1060" s="1462"/>
    </row>
    <row r="1061" spans="1:25" x14ac:dyDescent="0.3">
      <c r="A1061" s="2294"/>
      <c r="B1061" s="2294"/>
      <c r="C1061" s="2294"/>
      <c r="D1061" s="2294"/>
      <c r="E1061" s="1461"/>
      <c r="R1061" s="1462"/>
      <c r="S1061" s="1462"/>
      <c r="T1061" s="1462"/>
      <c r="U1061" s="1462"/>
      <c r="V1061" s="1462"/>
      <c r="W1061" s="1462"/>
      <c r="X1061" s="1462"/>
      <c r="Y1061" s="1462"/>
    </row>
    <row r="1062" spans="1:25" x14ac:dyDescent="0.3">
      <c r="A1062" s="2294"/>
      <c r="B1062" s="2294"/>
      <c r="C1062" s="2294"/>
      <c r="D1062" s="2294"/>
      <c r="E1062" s="1461"/>
      <c r="R1062" s="1462"/>
      <c r="S1062" s="1462"/>
      <c r="T1062" s="1462"/>
      <c r="U1062" s="1462"/>
      <c r="V1062" s="1462"/>
      <c r="W1062" s="1462"/>
      <c r="X1062" s="1462"/>
      <c r="Y1062" s="1462"/>
    </row>
    <row r="1063" spans="1:25" x14ac:dyDescent="0.3">
      <c r="A1063" s="2294"/>
      <c r="B1063" s="2294"/>
      <c r="C1063" s="2294"/>
      <c r="D1063" s="2294"/>
      <c r="E1063" s="1461"/>
      <c r="R1063" s="1462"/>
      <c r="S1063" s="1462"/>
      <c r="T1063" s="1462"/>
      <c r="U1063" s="1462"/>
      <c r="V1063" s="1462"/>
      <c r="W1063" s="1462"/>
      <c r="X1063" s="1462"/>
      <c r="Y1063" s="1462"/>
    </row>
    <row r="1064" spans="1:25" x14ac:dyDescent="0.3">
      <c r="A1064" s="2294"/>
      <c r="B1064" s="2294"/>
      <c r="C1064" s="2294"/>
      <c r="D1064" s="2294"/>
      <c r="E1064" s="1461"/>
      <c r="R1064" s="1462"/>
      <c r="S1064" s="1462"/>
      <c r="T1064" s="1462"/>
      <c r="U1064" s="1462"/>
      <c r="V1064" s="1462"/>
      <c r="W1064" s="1462"/>
      <c r="X1064" s="1462"/>
      <c r="Y1064" s="1462"/>
    </row>
    <row r="1065" spans="1:25" x14ac:dyDescent="0.3">
      <c r="A1065" s="2294"/>
      <c r="B1065" s="2294"/>
      <c r="C1065" s="2294"/>
      <c r="D1065" s="2294"/>
      <c r="E1065" s="1461"/>
      <c r="R1065" s="1462"/>
      <c r="S1065" s="1462"/>
      <c r="T1065" s="1462"/>
      <c r="U1065" s="1462"/>
      <c r="V1065" s="1462"/>
      <c r="W1065" s="1462"/>
      <c r="X1065" s="1462"/>
      <c r="Y1065" s="1462"/>
    </row>
    <row r="1066" spans="1:25" x14ac:dyDescent="0.3">
      <c r="A1066" s="2294"/>
      <c r="B1066" s="2294"/>
      <c r="C1066" s="2294"/>
      <c r="D1066" s="2294"/>
      <c r="E1066" s="1461"/>
      <c r="R1066" s="1462"/>
      <c r="S1066" s="1462"/>
      <c r="T1066" s="1462"/>
      <c r="U1066" s="1462"/>
      <c r="V1066" s="1462"/>
      <c r="W1066" s="1462"/>
      <c r="X1066" s="1462"/>
      <c r="Y1066" s="1462"/>
    </row>
    <row r="1067" spans="1:25" x14ac:dyDescent="0.3">
      <c r="A1067" s="2294"/>
      <c r="B1067" s="2294"/>
      <c r="C1067" s="2294"/>
      <c r="D1067" s="2294"/>
      <c r="E1067" s="1461"/>
      <c r="R1067" s="1462"/>
      <c r="S1067" s="1462"/>
      <c r="T1067" s="1462"/>
      <c r="U1067" s="1462"/>
      <c r="V1067" s="1462"/>
      <c r="W1067" s="1462"/>
      <c r="X1067" s="1462"/>
      <c r="Y1067" s="1462"/>
    </row>
    <row r="1068" spans="1:25" x14ac:dyDescent="0.3">
      <c r="A1068" s="2294"/>
      <c r="B1068" s="2294"/>
      <c r="C1068" s="2294"/>
      <c r="D1068" s="2294"/>
      <c r="E1068" s="1461"/>
      <c r="R1068" s="1462"/>
      <c r="S1068" s="1462"/>
      <c r="T1068" s="1462"/>
      <c r="U1068" s="1462"/>
      <c r="V1068" s="1462"/>
      <c r="W1068" s="1462"/>
      <c r="X1068" s="1462"/>
      <c r="Y1068" s="1462"/>
    </row>
    <row r="1069" spans="1:25" x14ac:dyDescent="0.3">
      <c r="A1069" s="2294"/>
      <c r="B1069" s="2294"/>
      <c r="C1069" s="2294"/>
      <c r="D1069" s="2294"/>
      <c r="E1069" s="1461"/>
      <c r="R1069" s="1462"/>
      <c r="S1069" s="1462"/>
      <c r="T1069" s="1462"/>
      <c r="U1069" s="1462"/>
      <c r="V1069" s="1462"/>
      <c r="W1069" s="1462"/>
      <c r="X1069" s="1462"/>
      <c r="Y1069" s="1462"/>
    </row>
    <row r="1070" spans="1:25" x14ac:dyDescent="0.3">
      <c r="A1070" s="2294"/>
      <c r="B1070" s="2294"/>
      <c r="C1070" s="2294"/>
      <c r="D1070" s="2294"/>
      <c r="E1070" s="1461"/>
      <c r="R1070" s="1462"/>
      <c r="S1070" s="1462"/>
      <c r="T1070" s="1462"/>
      <c r="U1070" s="1462"/>
      <c r="V1070" s="1462"/>
      <c r="W1070" s="1462"/>
      <c r="X1070" s="1462"/>
      <c r="Y1070" s="1462"/>
    </row>
    <row r="1071" spans="1:25" x14ac:dyDescent="0.3">
      <c r="A1071" s="2294"/>
      <c r="B1071" s="2294"/>
      <c r="C1071" s="2294"/>
      <c r="D1071" s="2294"/>
      <c r="E1071" s="1461"/>
      <c r="R1071" s="1462"/>
      <c r="S1071" s="1462"/>
      <c r="T1071" s="1462"/>
      <c r="U1071" s="1462"/>
      <c r="V1071" s="1462"/>
      <c r="W1071" s="1462"/>
      <c r="X1071" s="1462"/>
      <c r="Y1071" s="1462"/>
    </row>
    <row r="1072" spans="1:25" x14ac:dyDescent="0.3">
      <c r="A1072" s="2294"/>
      <c r="B1072" s="2294"/>
      <c r="C1072" s="2294"/>
      <c r="D1072" s="2294"/>
      <c r="E1072" s="1461"/>
      <c r="R1072" s="1462"/>
      <c r="S1072" s="1462"/>
      <c r="T1072" s="1462"/>
      <c r="U1072" s="1462"/>
      <c r="V1072" s="1462"/>
      <c r="W1072" s="1462"/>
      <c r="X1072" s="1462"/>
      <c r="Y1072" s="1462"/>
    </row>
    <row r="1073" spans="1:25" x14ac:dyDescent="0.3">
      <c r="A1073" s="2294"/>
      <c r="B1073" s="2294"/>
      <c r="C1073" s="2294"/>
      <c r="D1073" s="2294"/>
      <c r="E1073" s="1461"/>
      <c r="R1073" s="1462"/>
      <c r="S1073" s="1462"/>
      <c r="T1073" s="1462"/>
      <c r="U1073" s="1462"/>
      <c r="V1073" s="1462"/>
      <c r="W1073" s="1462"/>
      <c r="X1073" s="1462"/>
      <c r="Y1073" s="1462"/>
    </row>
    <row r="1074" spans="1:25" x14ac:dyDescent="0.3">
      <c r="A1074" s="2294"/>
      <c r="B1074" s="2294"/>
      <c r="C1074" s="2294"/>
      <c r="D1074" s="2294"/>
      <c r="E1074" s="1461"/>
      <c r="R1074" s="1462"/>
      <c r="S1074" s="1462"/>
      <c r="T1074" s="1462"/>
      <c r="U1074" s="1462"/>
      <c r="V1074" s="1462"/>
      <c r="W1074" s="1462"/>
      <c r="X1074" s="1462"/>
      <c r="Y1074" s="1462"/>
    </row>
    <row r="1075" spans="1:25" x14ac:dyDescent="0.3">
      <c r="A1075" s="2294"/>
      <c r="B1075" s="2294"/>
      <c r="C1075" s="2294"/>
      <c r="D1075" s="2294"/>
      <c r="E1075" s="1461"/>
      <c r="R1075" s="1462"/>
      <c r="S1075" s="1462"/>
      <c r="T1075" s="1462"/>
      <c r="U1075" s="1462"/>
      <c r="V1075" s="1462"/>
      <c r="W1075" s="1462"/>
      <c r="X1075" s="1462"/>
      <c r="Y1075" s="1462"/>
    </row>
    <row r="1076" spans="1:25" x14ac:dyDescent="0.3">
      <c r="A1076" s="2294"/>
      <c r="B1076" s="2294"/>
      <c r="C1076" s="2294"/>
      <c r="D1076" s="2294"/>
      <c r="E1076" s="1461"/>
      <c r="R1076" s="1462"/>
      <c r="S1076" s="1462"/>
      <c r="T1076" s="1462"/>
      <c r="U1076" s="1462"/>
      <c r="V1076" s="1462"/>
      <c r="W1076" s="1462"/>
      <c r="X1076" s="1462"/>
      <c r="Y1076" s="1462"/>
    </row>
    <row r="1077" spans="1:25" x14ac:dyDescent="0.3">
      <c r="A1077" s="2294"/>
      <c r="B1077" s="2294"/>
      <c r="C1077" s="2294"/>
      <c r="D1077" s="2294"/>
      <c r="E1077" s="1461"/>
      <c r="R1077" s="1462"/>
      <c r="S1077" s="1462"/>
      <c r="T1077" s="1462"/>
      <c r="U1077" s="1462"/>
      <c r="V1077" s="1462"/>
      <c r="W1077" s="1462"/>
      <c r="X1077" s="1462"/>
      <c r="Y1077" s="1462"/>
    </row>
    <row r="1078" spans="1:25" x14ac:dyDescent="0.3">
      <c r="A1078" s="2294"/>
      <c r="B1078" s="2294"/>
      <c r="C1078" s="2294"/>
      <c r="D1078" s="2294"/>
      <c r="E1078" s="1461"/>
      <c r="R1078" s="1462"/>
      <c r="S1078" s="1462"/>
      <c r="T1078" s="1462"/>
      <c r="U1078" s="1462"/>
      <c r="V1078" s="1462"/>
      <c r="W1078" s="1462"/>
      <c r="X1078" s="1462"/>
      <c r="Y1078" s="1462"/>
    </row>
    <row r="1079" spans="1:25" x14ac:dyDescent="0.3">
      <c r="A1079" s="2294"/>
      <c r="B1079" s="2294"/>
      <c r="C1079" s="2294"/>
      <c r="D1079" s="2294"/>
      <c r="E1079" s="1461"/>
      <c r="R1079" s="1462"/>
      <c r="S1079" s="1462"/>
      <c r="T1079" s="1462"/>
      <c r="U1079" s="1462"/>
      <c r="V1079" s="1462"/>
      <c r="W1079" s="1462"/>
      <c r="X1079" s="1462"/>
      <c r="Y1079" s="1462"/>
    </row>
    <row r="1080" spans="1:25" x14ac:dyDescent="0.3">
      <c r="A1080" s="2294"/>
      <c r="B1080" s="2294"/>
      <c r="C1080" s="2294"/>
      <c r="D1080" s="2294"/>
      <c r="E1080" s="1461"/>
      <c r="R1080" s="1462"/>
      <c r="S1080" s="1462"/>
      <c r="T1080" s="1462"/>
      <c r="U1080" s="1462"/>
      <c r="V1080" s="1462"/>
      <c r="W1080" s="1462"/>
      <c r="X1080" s="1462"/>
      <c r="Y1080" s="1462"/>
    </row>
    <row r="1081" spans="1:25" x14ac:dyDescent="0.3">
      <c r="A1081" s="2294"/>
      <c r="B1081" s="2294"/>
      <c r="C1081" s="2294"/>
      <c r="D1081" s="2294"/>
      <c r="E1081" s="1461"/>
      <c r="R1081" s="1462"/>
      <c r="S1081" s="1462"/>
      <c r="T1081" s="1462"/>
      <c r="U1081" s="1462"/>
      <c r="V1081" s="1462"/>
      <c r="W1081" s="1462"/>
      <c r="X1081" s="1462"/>
      <c r="Y1081" s="1462"/>
    </row>
    <row r="1082" spans="1:25" x14ac:dyDescent="0.3">
      <c r="A1082" s="2294"/>
      <c r="B1082" s="2294"/>
      <c r="C1082" s="2294"/>
      <c r="D1082" s="2294"/>
      <c r="E1082" s="1461"/>
      <c r="R1082" s="1462"/>
      <c r="S1082" s="1462"/>
      <c r="T1082" s="1462"/>
      <c r="U1082" s="1462"/>
      <c r="V1082" s="1462"/>
      <c r="W1082" s="1462"/>
      <c r="X1082" s="1462"/>
      <c r="Y1082" s="1462"/>
    </row>
    <row r="1083" spans="1:25" x14ac:dyDescent="0.3">
      <c r="A1083" s="2294"/>
      <c r="B1083" s="2294"/>
      <c r="C1083" s="2294"/>
      <c r="D1083" s="2294"/>
      <c r="E1083" s="1461"/>
      <c r="R1083" s="1462"/>
      <c r="S1083" s="1462"/>
      <c r="T1083" s="1462"/>
      <c r="U1083" s="1462"/>
      <c r="V1083" s="1462"/>
      <c r="W1083" s="1462"/>
      <c r="X1083" s="1462"/>
      <c r="Y1083" s="1462"/>
    </row>
    <row r="1084" spans="1:25" x14ac:dyDescent="0.3">
      <c r="A1084" s="2294"/>
      <c r="B1084" s="2294"/>
      <c r="C1084" s="2294"/>
      <c r="D1084" s="2294"/>
      <c r="E1084" s="1461"/>
      <c r="R1084" s="1462"/>
      <c r="S1084" s="1462"/>
      <c r="T1084" s="1462"/>
      <c r="U1084" s="1462"/>
      <c r="V1084" s="1462"/>
      <c r="W1084" s="1462"/>
      <c r="X1084" s="1462"/>
      <c r="Y1084" s="1462"/>
    </row>
    <row r="1085" spans="1:25" x14ac:dyDescent="0.3">
      <c r="A1085" s="2294"/>
      <c r="B1085" s="2294"/>
      <c r="C1085" s="2294"/>
      <c r="D1085" s="2294"/>
      <c r="E1085" s="1461"/>
      <c r="R1085" s="1462"/>
      <c r="S1085" s="1462"/>
      <c r="T1085" s="1462"/>
      <c r="U1085" s="1462"/>
      <c r="V1085" s="1462"/>
      <c r="W1085" s="1462"/>
      <c r="X1085" s="1462"/>
      <c r="Y1085" s="1462"/>
    </row>
    <row r="1086" spans="1:25" x14ac:dyDescent="0.3">
      <c r="A1086" s="2294"/>
      <c r="B1086" s="2294"/>
      <c r="C1086" s="2294"/>
      <c r="D1086" s="2294"/>
      <c r="E1086" s="1461"/>
      <c r="R1086" s="1462"/>
      <c r="S1086" s="1462"/>
      <c r="T1086" s="1462"/>
      <c r="U1086" s="1462"/>
      <c r="V1086" s="1462"/>
      <c r="W1086" s="1462"/>
      <c r="X1086" s="1462"/>
      <c r="Y1086" s="1462"/>
    </row>
    <row r="1087" spans="1:25" x14ac:dyDescent="0.3">
      <c r="A1087" s="2294"/>
      <c r="B1087" s="2294"/>
      <c r="C1087" s="2294"/>
      <c r="D1087" s="2294"/>
      <c r="E1087" s="1461"/>
      <c r="R1087" s="1462"/>
      <c r="S1087" s="1462"/>
      <c r="T1087" s="1462"/>
      <c r="U1087" s="1462"/>
      <c r="V1087" s="1462"/>
      <c r="W1087" s="1462"/>
      <c r="X1087" s="1462"/>
      <c r="Y1087" s="1462"/>
    </row>
    <row r="1088" spans="1:25" x14ac:dyDescent="0.3">
      <c r="A1088" s="2294"/>
      <c r="B1088" s="2294"/>
      <c r="C1088" s="2294"/>
      <c r="D1088" s="2294"/>
      <c r="E1088" s="1461"/>
      <c r="R1088" s="1462"/>
      <c r="S1088" s="1462"/>
      <c r="T1088" s="1462"/>
      <c r="U1088" s="1462"/>
      <c r="V1088" s="1462"/>
      <c r="W1088" s="1462"/>
      <c r="X1088" s="1462"/>
      <c r="Y1088" s="1462"/>
    </row>
    <row r="1089" spans="1:25" x14ac:dyDescent="0.3">
      <c r="A1089" s="2294"/>
      <c r="B1089" s="2294"/>
      <c r="C1089" s="2294"/>
      <c r="D1089" s="2294"/>
      <c r="E1089" s="1461"/>
      <c r="R1089" s="1462"/>
      <c r="S1089" s="1462"/>
      <c r="T1089" s="1462"/>
      <c r="U1089" s="1462"/>
      <c r="V1089" s="1462"/>
      <c r="W1089" s="1462"/>
      <c r="X1089" s="1462"/>
      <c r="Y1089" s="1462"/>
    </row>
    <row r="1090" spans="1:25" x14ac:dyDescent="0.3">
      <c r="A1090" s="2294"/>
      <c r="B1090" s="2294"/>
      <c r="C1090" s="2294"/>
      <c r="D1090" s="2294"/>
      <c r="E1090" s="1461"/>
      <c r="R1090" s="1462"/>
      <c r="S1090" s="1462"/>
      <c r="T1090" s="1462"/>
      <c r="U1090" s="1462"/>
      <c r="V1090" s="1462"/>
      <c r="W1090" s="1462"/>
      <c r="X1090" s="1462"/>
      <c r="Y1090" s="1462"/>
    </row>
    <row r="1091" spans="1:25" x14ac:dyDescent="0.3">
      <c r="A1091" s="2294"/>
      <c r="B1091" s="2294"/>
      <c r="C1091" s="2294"/>
      <c r="D1091" s="2294"/>
      <c r="E1091" s="1461"/>
      <c r="R1091" s="1462"/>
      <c r="S1091" s="1462"/>
      <c r="T1091" s="1462"/>
      <c r="U1091" s="1462"/>
      <c r="V1091" s="1462"/>
      <c r="W1091" s="1462"/>
      <c r="X1091" s="1462"/>
      <c r="Y1091" s="1462"/>
    </row>
    <row r="1092" spans="1:25" x14ac:dyDescent="0.3">
      <c r="A1092" s="2294"/>
      <c r="B1092" s="2294"/>
      <c r="C1092" s="2294"/>
      <c r="D1092" s="2294"/>
      <c r="E1092" s="1461"/>
      <c r="R1092" s="1462"/>
      <c r="S1092" s="1462"/>
      <c r="T1092" s="1462"/>
      <c r="U1092" s="1462"/>
      <c r="V1092" s="1462"/>
      <c r="W1092" s="1462"/>
      <c r="X1092" s="1462"/>
      <c r="Y1092" s="1462"/>
    </row>
    <row r="1093" spans="1:25" x14ac:dyDescent="0.3">
      <c r="A1093" s="2294"/>
      <c r="B1093" s="2294"/>
      <c r="C1093" s="2294"/>
      <c r="D1093" s="2294"/>
      <c r="E1093" s="1461"/>
      <c r="R1093" s="1462"/>
      <c r="S1093" s="1462"/>
      <c r="T1093" s="1462"/>
      <c r="U1093" s="1462"/>
      <c r="V1093" s="1462"/>
      <c r="W1093" s="1462"/>
      <c r="X1093" s="1462"/>
      <c r="Y1093" s="1462"/>
    </row>
    <row r="1094" spans="1:25" x14ac:dyDescent="0.3">
      <c r="A1094" s="2294"/>
      <c r="B1094" s="2294"/>
      <c r="C1094" s="2294"/>
      <c r="D1094" s="2294"/>
      <c r="E1094" s="1461"/>
      <c r="R1094" s="1462"/>
      <c r="S1094" s="1462"/>
      <c r="T1094" s="1462"/>
      <c r="U1094" s="1462"/>
      <c r="V1094" s="1462"/>
      <c r="W1094" s="1462"/>
      <c r="X1094" s="1462"/>
      <c r="Y1094" s="1462"/>
    </row>
    <row r="1095" spans="1:25" x14ac:dyDescent="0.3">
      <c r="A1095" s="2294"/>
      <c r="B1095" s="2294"/>
      <c r="C1095" s="2294"/>
      <c r="D1095" s="2294"/>
      <c r="E1095" s="1461"/>
      <c r="R1095" s="1462"/>
      <c r="S1095" s="1462"/>
      <c r="T1095" s="1462"/>
      <c r="U1095" s="1462"/>
      <c r="V1095" s="1462"/>
      <c r="W1095" s="1462"/>
      <c r="X1095" s="1462"/>
      <c r="Y1095" s="1462"/>
    </row>
    <row r="1096" spans="1:25" x14ac:dyDescent="0.3">
      <c r="A1096" s="2294"/>
      <c r="B1096" s="2294"/>
      <c r="C1096" s="2294"/>
      <c r="D1096" s="2294"/>
      <c r="E1096" s="1461"/>
      <c r="R1096" s="1462"/>
      <c r="S1096" s="1462"/>
      <c r="T1096" s="1462"/>
      <c r="U1096" s="1462"/>
      <c r="V1096" s="1462"/>
      <c r="W1096" s="1462"/>
      <c r="X1096" s="1462"/>
      <c r="Y1096" s="1462"/>
    </row>
    <row r="1097" spans="1:25" x14ac:dyDescent="0.3">
      <c r="A1097" s="2294"/>
      <c r="B1097" s="2294"/>
      <c r="C1097" s="2294"/>
      <c r="D1097" s="2294"/>
      <c r="E1097" s="1461"/>
      <c r="R1097" s="1462"/>
      <c r="S1097" s="1462"/>
      <c r="T1097" s="1462"/>
      <c r="U1097" s="1462"/>
      <c r="V1097" s="1462"/>
      <c r="W1097" s="1462"/>
      <c r="X1097" s="1462"/>
      <c r="Y1097" s="1462"/>
    </row>
    <row r="1098" spans="1:25" x14ac:dyDescent="0.3">
      <c r="A1098" s="2294"/>
      <c r="B1098" s="2294"/>
      <c r="C1098" s="2294"/>
      <c r="D1098" s="2294"/>
      <c r="E1098" s="1461"/>
      <c r="R1098" s="1462"/>
      <c r="S1098" s="1462"/>
      <c r="T1098" s="1462"/>
      <c r="U1098" s="1462"/>
      <c r="V1098" s="1462"/>
      <c r="W1098" s="1462"/>
      <c r="X1098" s="1462"/>
      <c r="Y1098" s="1462"/>
    </row>
    <row r="1099" spans="1:25" x14ac:dyDescent="0.3">
      <c r="A1099" s="2294"/>
      <c r="B1099" s="2294"/>
      <c r="C1099" s="2294"/>
      <c r="D1099" s="2294"/>
      <c r="E1099" s="1461"/>
      <c r="R1099" s="1462"/>
      <c r="S1099" s="1462"/>
      <c r="T1099" s="1462"/>
      <c r="U1099" s="1462"/>
      <c r="V1099" s="1462"/>
      <c r="W1099" s="1462"/>
      <c r="X1099" s="1462"/>
      <c r="Y1099" s="1462"/>
    </row>
    <row r="1100" spans="1:25" x14ac:dyDescent="0.3">
      <c r="A1100" s="2294"/>
      <c r="B1100" s="2294"/>
      <c r="C1100" s="2294"/>
      <c r="D1100" s="2294"/>
      <c r="E1100" s="1461"/>
      <c r="R1100" s="1462"/>
      <c r="S1100" s="1462"/>
      <c r="T1100" s="1462"/>
      <c r="U1100" s="1462"/>
      <c r="V1100" s="1462"/>
      <c r="W1100" s="1462"/>
      <c r="X1100" s="1462"/>
      <c r="Y1100" s="1462"/>
    </row>
    <row r="1101" spans="1:25" x14ac:dyDescent="0.3">
      <c r="A1101" s="2294"/>
      <c r="B1101" s="2294"/>
      <c r="C1101" s="2294"/>
      <c r="D1101" s="2294"/>
      <c r="E1101" s="1461"/>
      <c r="R1101" s="1462"/>
      <c r="S1101" s="1462"/>
      <c r="T1101" s="1462"/>
      <c r="U1101" s="1462"/>
      <c r="V1101" s="1462"/>
      <c r="W1101" s="1462"/>
      <c r="X1101" s="1462"/>
      <c r="Y1101" s="1462"/>
    </row>
    <row r="1102" spans="1:25" x14ac:dyDescent="0.3">
      <c r="A1102" s="2294"/>
      <c r="B1102" s="2294"/>
      <c r="C1102" s="2294"/>
      <c r="D1102" s="2294"/>
      <c r="E1102" s="1461"/>
      <c r="R1102" s="1462"/>
      <c r="S1102" s="1462"/>
      <c r="T1102" s="1462"/>
      <c r="U1102" s="1462"/>
      <c r="V1102" s="1462"/>
      <c r="W1102" s="1462"/>
      <c r="X1102" s="1462"/>
      <c r="Y1102" s="1462"/>
    </row>
    <row r="1103" spans="1:25" x14ac:dyDescent="0.3">
      <c r="A1103" s="2294"/>
      <c r="B1103" s="2294"/>
      <c r="C1103" s="2294"/>
      <c r="D1103" s="2294"/>
      <c r="E1103" s="1461"/>
      <c r="R1103" s="1462"/>
      <c r="S1103" s="1462"/>
      <c r="T1103" s="1462"/>
      <c r="U1103" s="1462"/>
      <c r="V1103" s="1462"/>
      <c r="W1103" s="1462"/>
      <c r="X1103" s="1462"/>
      <c r="Y1103" s="1462"/>
    </row>
    <row r="1104" spans="1:25" x14ac:dyDescent="0.3">
      <c r="A1104" s="2294"/>
      <c r="B1104" s="2294"/>
      <c r="C1104" s="2294"/>
      <c r="D1104" s="2294"/>
      <c r="E1104" s="1461"/>
      <c r="R1104" s="1462"/>
      <c r="S1104" s="1462"/>
      <c r="T1104" s="1462"/>
      <c r="U1104" s="1462"/>
      <c r="V1104" s="1462"/>
      <c r="W1104" s="1462"/>
      <c r="X1104" s="1462"/>
      <c r="Y1104" s="1462"/>
    </row>
    <row r="1105" spans="1:25" x14ac:dyDescent="0.3">
      <c r="A1105" s="2294"/>
      <c r="B1105" s="2294"/>
      <c r="C1105" s="2294"/>
      <c r="D1105" s="2294"/>
      <c r="E1105" s="1461"/>
      <c r="R1105" s="1462"/>
      <c r="S1105" s="1462"/>
      <c r="T1105" s="1462"/>
      <c r="U1105" s="1462"/>
      <c r="V1105" s="1462"/>
      <c r="W1105" s="1462"/>
      <c r="X1105" s="1462"/>
      <c r="Y1105" s="1462"/>
    </row>
    <row r="1106" spans="1:25" x14ac:dyDescent="0.3">
      <c r="A1106" s="2294"/>
      <c r="B1106" s="2294"/>
      <c r="C1106" s="2294"/>
      <c r="D1106" s="2294"/>
      <c r="E1106" s="1461"/>
      <c r="R1106" s="1462"/>
      <c r="S1106" s="1462"/>
      <c r="T1106" s="1462"/>
      <c r="U1106" s="1462"/>
      <c r="V1106" s="1462"/>
      <c r="W1106" s="1462"/>
      <c r="X1106" s="1462"/>
      <c r="Y1106" s="1462"/>
    </row>
    <row r="1107" spans="1:25" x14ac:dyDescent="0.3">
      <c r="A1107" s="2294"/>
      <c r="B1107" s="2294"/>
      <c r="C1107" s="2294"/>
      <c r="D1107" s="2294"/>
      <c r="E1107" s="1461"/>
      <c r="R1107" s="1462"/>
      <c r="S1107" s="1462"/>
      <c r="T1107" s="1462"/>
      <c r="U1107" s="1462"/>
      <c r="V1107" s="1462"/>
      <c r="W1107" s="1462"/>
      <c r="X1107" s="1462"/>
      <c r="Y1107" s="1462"/>
    </row>
    <row r="1108" spans="1:25" x14ac:dyDescent="0.3">
      <c r="A1108" s="2294"/>
      <c r="B1108" s="2294"/>
      <c r="C1108" s="2294"/>
      <c r="D1108" s="2294"/>
      <c r="E1108" s="1461"/>
      <c r="R1108" s="1462"/>
      <c r="S1108" s="1462"/>
      <c r="T1108" s="1462"/>
      <c r="U1108" s="1462"/>
      <c r="V1108" s="1462"/>
      <c r="W1108" s="1462"/>
      <c r="X1108" s="1462"/>
      <c r="Y1108" s="1462"/>
    </row>
    <row r="1109" spans="1:25" x14ac:dyDescent="0.3">
      <c r="A1109" s="2294"/>
      <c r="B1109" s="2294"/>
      <c r="C1109" s="2294"/>
      <c r="D1109" s="2294"/>
      <c r="E1109" s="1461"/>
      <c r="R1109" s="1462"/>
      <c r="S1109" s="1462"/>
      <c r="T1109" s="1462"/>
      <c r="U1109" s="1462"/>
      <c r="V1109" s="1462"/>
      <c r="W1109" s="1462"/>
      <c r="X1109" s="1462"/>
      <c r="Y1109" s="1462"/>
    </row>
    <row r="1110" spans="1:25" x14ac:dyDescent="0.3">
      <c r="A1110" s="2294"/>
      <c r="B1110" s="2294"/>
      <c r="C1110" s="2294"/>
      <c r="D1110" s="2294"/>
      <c r="E1110" s="1461"/>
      <c r="R1110" s="1462"/>
      <c r="S1110" s="1462"/>
      <c r="T1110" s="1462"/>
      <c r="U1110" s="1462"/>
      <c r="V1110" s="1462"/>
      <c r="W1110" s="1462"/>
      <c r="X1110" s="1462"/>
      <c r="Y1110" s="1462"/>
    </row>
    <row r="1111" spans="1:25" x14ac:dyDescent="0.3">
      <c r="A1111" s="2294"/>
      <c r="B1111" s="2294"/>
      <c r="C1111" s="2294"/>
      <c r="D1111" s="2294"/>
      <c r="E1111" s="1461"/>
      <c r="R1111" s="1462"/>
      <c r="S1111" s="1462"/>
      <c r="T1111" s="1462"/>
      <c r="U1111" s="1462"/>
      <c r="V1111" s="1462"/>
      <c r="W1111" s="1462"/>
      <c r="X1111" s="1462"/>
      <c r="Y1111" s="1462"/>
    </row>
    <row r="1112" spans="1:25" x14ac:dyDescent="0.3">
      <c r="A1112" s="2294"/>
      <c r="B1112" s="2294"/>
      <c r="C1112" s="2294"/>
      <c r="D1112" s="2294"/>
      <c r="E1112" s="1461"/>
      <c r="R1112" s="1462"/>
      <c r="S1112" s="1462"/>
      <c r="T1112" s="1462"/>
      <c r="U1112" s="1462"/>
      <c r="V1112" s="1462"/>
      <c r="W1112" s="1462"/>
      <c r="X1112" s="1462"/>
      <c r="Y1112" s="1462"/>
    </row>
    <row r="1113" spans="1:25" x14ac:dyDescent="0.3">
      <c r="A1113" s="2294"/>
      <c r="B1113" s="2294"/>
      <c r="C1113" s="2294"/>
      <c r="D1113" s="2294"/>
      <c r="E1113" s="1461"/>
      <c r="R1113" s="1462"/>
      <c r="S1113" s="1462"/>
      <c r="T1113" s="1462"/>
      <c r="U1113" s="1462"/>
      <c r="V1113" s="1462"/>
      <c r="W1113" s="1462"/>
      <c r="X1113" s="1462"/>
      <c r="Y1113" s="1462"/>
    </row>
    <row r="1114" spans="1:25" x14ac:dyDescent="0.3">
      <c r="A1114" s="2294"/>
      <c r="B1114" s="2294"/>
      <c r="C1114" s="2294"/>
      <c r="D1114" s="2294"/>
      <c r="E1114" s="1461"/>
      <c r="R1114" s="1462"/>
      <c r="S1114" s="1462"/>
      <c r="T1114" s="1462"/>
      <c r="U1114" s="1462"/>
      <c r="V1114" s="1462"/>
      <c r="W1114" s="1462"/>
      <c r="X1114" s="1462"/>
      <c r="Y1114" s="1462"/>
    </row>
    <row r="1115" spans="1:25" x14ac:dyDescent="0.3">
      <c r="A1115" s="2294"/>
      <c r="B1115" s="2294"/>
      <c r="C1115" s="2294"/>
      <c r="D1115" s="2294"/>
      <c r="E1115" s="1461"/>
      <c r="R1115" s="1462"/>
      <c r="S1115" s="1462"/>
      <c r="T1115" s="1462"/>
      <c r="U1115" s="1462"/>
      <c r="V1115" s="1462"/>
      <c r="W1115" s="1462"/>
      <c r="X1115" s="1462"/>
      <c r="Y1115" s="1462"/>
    </row>
    <row r="1116" spans="1:25" x14ac:dyDescent="0.3">
      <c r="A1116" s="2294"/>
      <c r="B1116" s="2294"/>
      <c r="C1116" s="2294"/>
      <c r="D1116" s="2294"/>
      <c r="E1116" s="1461"/>
      <c r="R1116" s="1462"/>
      <c r="S1116" s="1462"/>
      <c r="T1116" s="1462"/>
      <c r="U1116" s="1462"/>
      <c r="V1116" s="1462"/>
      <c r="W1116" s="1462"/>
      <c r="X1116" s="1462"/>
      <c r="Y1116" s="1462"/>
    </row>
    <row r="1117" spans="1:25" x14ac:dyDescent="0.3">
      <c r="A1117" s="2294"/>
      <c r="B1117" s="2294"/>
      <c r="C1117" s="2294"/>
      <c r="D1117" s="2294"/>
      <c r="E1117" s="1461"/>
      <c r="R1117" s="1462"/>
      <c r="S1117" s="1462"/>
      <c r="T1117" s="1462"/>
      <c r="U1117" s="1462"/>
      <c r="V1117" s="1462"/>
      <c r="W1117" s="1462"/>
      <c r="X1117" s="1462"/>
      <c r="Y1117" s="1462"/>
    </row>
    <row r="1118" spans="1:25" x14ac:dyDescent="0.3">
      <c r="A1118" s="2294"/>
      <c r="B1118" s="2294"/>
      <c r="C1118" s="2294"/>
      <c r="D1118" s="2294"/>
      <c r="E1118" s="1461"/>
      <c r="R1118" s="1462"/>
      <c r="S1118" s="1462"/>
      <c r="T1118" s="1462"/>
      <c r="U1118" s="1462"/>
      <c r="V1118" s="1462"/>
      <c r="W1118" s="1462"/>
      <c r="X1118" s="1462"/>
      <c r="Y1118" s="1462"/>
    </row>
    <row r="1119" spans="1:25" x14ac:dyDescent="0.3">
      <c r="A1119" s="2294"/>
      <c r="B1119" s="2294"/>
      <c r="C1119" s="2294"/>
      <c r="D1119" s="2294"/>
      <c r="E1119" s="1461"/>
      <c r="R1119" s="1462"/>
      <c r="S1119" s="1462"/>
      <c r="T1119" s="1462"/>
      <c r="U1119" s="1462"/>
      <c r="V1119" s="1462"/>
      <c r="W1119" s="1462"/>
      <c r="X1119" s="1462"/>
      <c r="Y1119" s="1462"/>
    </row>
    <row r="1120" spans="1:25" x14ac:dyDescent="0.3">
      <c r="A1120" s="2294"/>
      <c r="B1120" s="2294"/>
      <c r="C1120" s="2294"/>
      <c r="D1120" s="2294"/>
      <c r="E1120" s="1461"/>
      <c r="R1120" s="1462"/>
      <c r="S1120" s="1462"/>
      <c r="T1120" s="1462"/>
      <c r="U1120" s="1462"/>
      <c r="V1120" s="1462"/>
      <c r="W1120" s="1462"/>
      <c r="X1120" s="1462"/>
      <c r="Y1120" s="1462"/>
    </row>
    <row r="1121" spans="1:25" x14ac:dyDescent="0.3">
      <c r="A1121" s="2294"/>
      <c r="B1121" s="2294"/>
      <c r="C1121" s="2294"/>
      <c r="D1121" s="2294"/>
      <c r="E1121" s="1461"/>
      <c r="R1121" s="1462"/>
      <c r="S1121" s="1462"/>
      <c r="T1121" s="1462"/>
      <c r="U1121" s="1462"/>
      <c r="V1121" s="1462"/>
      <c r="W1121" s="1462"/>
      <c r="X1121" s="1462"/>
      <c r="Y1121" s="1462"/>
    </row>
    <row r="1122" spans="1:25" x14ac:dyDescent="0.3">
      <c r="A1122" s="2294"/>
      <c r="B1122" s="2294"/>
      <c r="C1122" s="2294"/>
      <c r="D1122" s="2294"/>
      <c r="E1122" s="1461"/>
      <c r="R1122" s="1462"/>
      <c r="S1122" s="1462"/>
      <c r="T1122" s="1462"/>
      <c r="U1122" s="1462"/>
      <c r="V1122" s="1462"/>
      <c r="W1122" s="1462"/>
      <c r="X1122" s="1462"/>
      <c r="Y1122" s="1462"/>
    </row>
    <row r="1123" spans="1:25" x14ac:dyDescent="0.3">
      <c r="A1123" s="2294"/>
      <c r="B1123" s="2294"/>
      <c r="C1123" s="2294"/>
      <c r="D1123" s="2294"/>
      <c r="E1123" s="1461"/>
      <c r="R1123" s="1462"/>
      <c r="S1123" s="1462"/>
      <c r="T1123" s="1462"/>
      <c r="U1123" s="1462"/>
      <c r="V1123" s="1462"/>
      <c r="W1123" s="1462"/>
      <c r="X1123" s="1462"/>
      <c r="Y1123" s="1462"/>
    </row>
    <row r="1124" spans="1:25" x14ac:dyDescent="0.3">
      <c r="A1124" s="2294"/>
      <c r="B1124" s="2294"/>
      <c r="C1124" s="2294"/>
      <c r="D1124" s="2294"/>
      <c r="E1124" s="1461"/>
      <c r="R1124" s="1462"/>
      <c r="S1124" s="1462"/>
      <c r="T1124" s="1462"/>
      <c r="U1124" s="1462"/>
      <c r="V1124" s="1462"/>
      <c r="W1124" s="1462"/>
      <c r="X1124" s="1462"/>
      <c r="Y1124" s="1462"/>
    </row>
    <row r="1125" spans="1:25" x14ac:dyDescent="0.3">
      <c r="A1125" s="2294"/>
      <c r="B1125" s="2294"/>
      <c r="C1125" s="2294"/>
      <c r="D1125" s="2294"/>
      <c r="E1125" s="1461"/>
      <c r="R1125" s="1462"/>
      <c r="S1125" s="1462"/>
      <c r="T1125" s="1462"/>
      <c r="U1125" s="1462"/>
      <c r="V1125" s="1462"/>
      <c r="W1125" s="1462"/>
      <c r="X1125" s="1462"/>
      <c r="Y1125" s="1462"/>
    </row>
    <row r="1126" spans="1:25" x14ac:dyDescent="0.3">
      <c r="A1126" s="2294"/>
      <c r="B1126" s="2294"/>
      <c r="C1126" s="2294"/>
      <c r="D1126" s="2294"/>
      <c r="E1126" s="1461"/>
      <c r="R1126" s="1462"/>
      <c r="S1126" s="1462"/>
      <c r="T1126" s="1462"/>
      <c r="U1126" s="1462"/>
      <c r="V1126" s="1462"/>
      <c r="W1126" s="1462"/>
      <c r="X1126" s="1462"/>
      <c r="Y1126" s="1462"/>
    </row>
    <row r="1127" spans="1:25" x14ac:dyDescent="0.3">
      <c r="A1127" s="2294"/>
      <c r="B1127" s="2294"/>
      <c r="C1127" s="2294"/>
      <c r="D1127" s="2294"/>
      <c r="E1127" s="1461"/>
      <c r="R1127" s="1462"/>
      <c r="S1127" s="1462"/>
      <c r="T1127" s="1462"/>
      <c r="U1127" s="1462"/>
      <c r="V1127" s="1462"/>
      <c r="W1127" s="1462"/>
      <c r="X1127" s="1462"/>
      <c r="Y1127" s="1462"/>
    </row>
    <row r="1128" spans="1:25" x14ac:dyDescent="0.3">
      <c r="A1128" s="2294"/>
      <c r="B1128" s="2294"/>
      <c r="C1128" s="2294"/>
      <c r="D1128" s="2294"/>
      <c r="E1128" s="1461"/>
      <c r="R1128" s="1462"/>
      <c r="S1128" s="1462"/>
      <c r="T1128" s="1462"/>
      <c r="U1128" s="1462"/>
      <c r="V1128" s="1462"/>
      <c r="W1128" s="1462"/>
      <c r="X1128" s="1462"/>
      <c r="Y1128" s="1462"/>
    </row>
    <row r="1129" spans="1:25" x14ac:dyDescent="0.3">
      <c r="A1129" s="2294"/>
      <c r="B1129" s="2294"/>
      <c r="C1129" s="2294"/>
      <c r="D1129" s="2294"/>
      <c r="E1129" s="1461"/>
      <c r="R1129" s="1462"/>
      <c r="S1129" s="1462"/>
      <c r="T1129" s="1462"/>
      <c r="U1129" s="1462"/>
      <c r="V1129" s="1462"/>
      <c r="W1129" s="1462"/>
      <c r="X1129" s="1462"/>
      <c r="Y1129" s="1462"/>
    </row>
    <row r="1130" spans="1:25" x14ac:dyDescent="0.3">
      <c r="A1130" s="2294"/>
      <c r="B1130" s="2294"/>
      <c r="C1130" s="2294"/>
      <c r="D1130" s="2294"/>
      <c r="E1130" s="1461"/>
      <c r="R1130" s="1462"/>
      <c r="S1130" s="1462"/>
      <c r="T1130" s="1462"/>
      <c r="U1130" s="1462"/>
      <c r="V1130" s="1462"/>
      <c r="W1130" s="1462"/>
      <c r="X1130" s="1462"/>
      <c r="Y1130" s="1462"/>
    </row>
    <row r="1131" spans="1:25" x14ac:dyDescent="0.3">
      <c r="A1131" s="2294"/>
      <c r="B1131" s="2294"/>
      <c r="C1131" s="2294"/>
      <c r="D1131" s="2294"/>
      <c r="E1131" s="1461"/>
      <c r="R1131" s="1462"/>
      <c r="S1131" s="1462"/>
      <c r="T1131" s="1462"/>
      <c r="U1131" s="1462"/>
      <c r="V1131" s="1462"/>
      <c r="W1131" s="1462"/>
      <c r="X1131" s="1462"/>
      <c r="Y1131" s="1462"/>
    </row>
    <row r="1132" spans="1:25" x14ac:dyDescent="0.3">
      <c r="A1132" s="2294"/>
      <c r="B1132" s="2294"/>
      <c r="C1132" s="2294"/>
      <c r="D1132" s="2294"/>
      <c r="E1132" s="1461"/>
      <c r="R1132" s="1462"/>
      <c r="S1132" s="1462"/>
      <c r="T1132" s="1462"/>
      <c r="U1132" s="1462"/>
      <c r="V1132" s="1462"/>
      <c r="W1132" s="1462"/>
      <c r="X1132" s="1462"/>
      <c r="Y1132" s="1462"/>
    </row>
    <row r="1133" spans="1:25" x14ac:dyDescent="0.3">
      <c r="A1133" s="2294"/>
      <c r="B1133" s="2294"/>
      <c r="C1133" s="2294"/>
      <c r="D1133" s="2294"/>
      <c r="E1133" s="1461"/>
      <c r="R1133" s="1462"/>
      <c r="S1133" s="1462"/>
      <c r="T1133" s="1462"/>
      <c r="U1133" s="1462"/>
      <c r="V1133" s="1462"/>
      <c r="W1133" s="1462"/>
      <c r="X1133" s="1462"/>
      <c r="Y1133" s="1462"/>
    </row>
    <row r="1134" spans="1:25" x14ac:dyDescent="0.3">
      <c r="A1134" s="2294"/>
      <c r="B1134" s="2294"/>
      <c r="C1134" s="2294"/>
      <c r="D1134" s="2294"/>
      <c r="E1134" s="1461"/>
      <c r="R1134" s="1462"/>
      <c r="S1134" s="1462"/>
      <c r="T1134" s="1462"/>
      <c r="U1134" s="1462"/>
      <c r="V1134" s="1462"/>
      <c r="W1134" s="1462"/>
      <c r="X1134" s="1462"/>
      <c r="Y1134" s="1462"/>
    </row>
    <row r="1135" spans="1:25" x14ac:dyDescent="0.3">
      <c r="A1135" s="2294"/>
      <c r="B1135" s="2294"/>
      <c r="C1135" s="2294"/>
      <c r="D1135" s="2294"/>
      <c r="E1135" s="1461"/>
      <c r="R1135" s="1462"/>
      <c r="S1135" s="1462"/>
      <c r="T1135" s="1462"/>
      <c r="U1135" s="1462"/>
      <c r="V1135" s="1462"/>
      <c r="W1135" s="1462"/>
      <c r="X1135" s="1462"/>
      <c r="Y1135" s="1462"/>
    </row>
    <row r="1136" spans="1:25" x14ac:dyDescent="0.3">
      <c r="A1136" s="2294"/>
      <c r="B1136" s="2294"/>
      <c r="C1136" s="2294"/>
      <c r="D1136" s="2294"/>
      <c r="E1136" s="1461"/>
      <c r="R1136" s="1462"/>
      <c r="S1136" s="1462"/>
      <c r="T1136" s="1462"/>
      <c r="U1136" s="1462"/>
      <c r="V1136" s="1462"/>
      <c r="W1136" s="1462"/>
      <c r="X1136" s="1462"/>
      <c r="Y1136" s="1462"/>
    </row>
    <row r="1137" spans="1:25" x14ac:dyDescent="0.3">
      <c r="A1137" s="2294"/>
      <c r="B1137" s="2294"/>
      <c r="C1137" s="2294"/>
      <c r="D1137" s="2294"/>
      <c r="E1137" s="1461"/>
      <c r="R1137" s="1462"/>
      <c r="S1137" s="1462"/>
      <c r="T1137" s="1462"/>
      <c r="U1137" s="1462"/>
      <c r="V1137" s="1462"/>
      <c r="W1137" s="1462"/>
      <c r="X1137" s="1462"/>
      <c r="Y1137" s="1462"/>
    </row>
    <row r="1138" spans="1:25" x14ac:dyDescent="0.3">
      <c r="A1138" s="2294"/>
      <c r="B1138" s="2294"/>
      <c r="C1138" s="2294"/>
      <c r="D1138" s="2294"/>
      <c r="E1138" s="1461"/>
      <c r="R1138" s="1462"/>
      <c r="S1138" s="1462"/>
      <c r="T1138" s="1462"/>
      <c r="U1138" s="1462"/>
      <c r="V1138" s="1462"/>
      <c r="W1138" s="1462"/>
      <c r="X1138" s="1462"/>
      <c r="Y1138" s="1462"/>
    </row>
    <row r="1139" spans="1:25" x14ac:dyDescent="0.3">
      <c r="A1139" s="2294"/>
      <c r="B1139" s="2294"/>
      <c r="C1139" s="2294"/>
      <c r="D1139" s="2294"/>
      <c r="E1139" s="1461"/>
      <c r="R1139" s="1462"/>
      <c r="S1139" s="1462"/>
      <c r="T1139" s="1462"/>
      <c r="U1139" s="1462"/>
      <c r="V1139" s="1462"/>
      <c r="W1139" s="1462"/>
      <c r="X1139" s="1462"/>
      <c r="Y1139" s="1462"/>
    </row>
    <row r="1140" spans="1:25" x14ac:dyDescent="0.3">
      <c r="A1140" s="2294"/>
      <c r="B1140" s="2294"/>
      <c r="C1140" s="2294"/>
      <c r="D1140" s="2294"/>
      <c r="E1140" s="1461"/>
      <c r="R1140" s="1462"/>
      <c r="S1140" s="1462"/>
      <c r="T1140" s="1462"/>
      <c r="U1140" s="1462"/>
      <c r="V1140" s="1462"/>
      <c r="W1140" s="1462"/>
      <c r="X1140" s="1462"/>
      <c r="Y1140" s="1462"/>
    </row>
    <row r="1141" spans="1:25" x14ac:dyDescent="0.3">
      <c r="A1141" s="2294"/>
      <c r="B1141" s="2294"/>
      <c r="C1141" s="2294"/>
      <c r="D1141" s="2294"/>
      <c r="E1141" s="1461"/>
      <c r="R1141" s="1462"/>
      <c r="S1141" s="1462"/>
      <c r="T1141" s="1462"/>
      <c r="U1141" s="1462"/>
      <c r="V1141" s="1462"/>
      <c r="W1141" s="1462"/>
      <c r="X1141" s="1462"/>
      <c r="Y1141" s="1462"/>
    </row>
    <row r="1142" spans="1:25" x14ac:dyDescent="0.3">
      <c r="A1142" s="2294"/>
      <c r="B1142" s="2294"/>
      <c r="C1142" s="2294"/>
      <c r="D1142" s="2294"/>
      <c r="E1142" s="1461"/>
      <c r="R1142" s="1462"/>
      <c r="S1142" s="1462"/>
      <c r="T1142" s="1462"/>
      <c r="U1142" s="1462"/>
      <c r="V1142" s="1462"/>
      <c r="W1142" s="1462"/>
      <c r="X1142" s="1462"/>
      <c r="Y1142" s="1462"/>
    </row>
    <row r="1143" spans="1:25" x14ac:dyDescent="0.3">
      <c r="A1143" s="2294"/>
      <c r="B1143" s="2294"/>
      <c r="C1143" s="2294"/>
      <c r="D1143" s="2294"/>
      <c r="E1143" s="1461"/>
      <c r="R1143" s="1462"/>
      <c r="S1143" s="1462"/>
      <c r="T1143" s="1462"/>
      <c r="U1143" s="1462"/>
      <c r="V1143" s="1462"/>
      <c r="W1143" s="1462"/>
      <c r="X1143" s="1462"/>
      <c r="Y1143" s="1462"/>
    </row>
    <row r="1144" spans="1:25" x14ac:dyDescent="0.3">
      <c r="A1144" s="2294"/>
      <c r="B1144" s="2294"/>
      <c r="C1144" s="2294"/>
      <c r="D1144" s="2294"/>
      <c r="E1144" s="1461"/>
      <c r="R1144" s="1462"/>
      <c r="S1144" s="1462"/>
      <c r="T1144" s="1462"/>
      <c r="U1144" s="1462"/>
      <c r="V1144" s="1462"/>
      <c r="W1144" s="1462"/>
      <c r="X1144" s="1462"/>
      <c r="Y1144" s="1462"/>
    </row>
    <row r="1145" spans="1:25" x14ac:dyDescent="0.3">
      <c r="A1145" s="2294"/>
      <c r="B1145" s="2294"/>
      <c r="C1145" s="2294"/>
      <c r="D1145" s="2294"/>
      <c r="E1145" s="1461"/>
      <c r="R1145" s="1462"/>
      <c r="S1145" s="1462"/>
      <c r="T1145" s="1462"/>
      <c r="U1145" s="1462"/>
      <c r="V1145" s="1462"/>
      <c r="W1145" s="1462"/>
      <c r="X1145" s="1462"/>
      <c r="Y1145" s="1462"/>
    </row>
    <row r="1146" spans="1:25" x14ac:dyDescent="0.3">
      <c r="A1146" s="2294"/>
      <c r="B1146" s="2294"/>
      <c r="C1146" s="2294"/>
      <c r="D1146" s="2294"/>
      <c r="E1146" s="1461"/>
      <c r="R1146" s="1462"/>
      <c r="S1146" s="1462"/>
      <c r="T1146" s="1462"/>
      <c r="U1146" s="1462"/>
      <c r="V1146" s="1462"/>
      <c r="W1146" s="1462"/>
      <c r="X1146" s="1462"/>
      <c r="Y1146" s="1462"/>
    </row>
    <row r="1147" spans="1:25" x14ac:dyDescent="0.3">
      <c r="A1147" s="2294"/>
      <c r="B1147" s="2294"/>
      <c r="C1147" s="2294"/>
      <c r="D1147" s="2294"/>
      <c r="E1147" s="1461"/>
      <c r="R1147" s="1462"/>
      <c r="S1147" s="1462"/>
      <c r="T1147" s="1462"/>
      <c r="U1147" s="1462"/>
      <c r="V1147" s="1462"/>
      <c r="W1147" s="1462"/>
      <c r="X1147" s="1462"/>
      <c r="Y1147" s="1462"/>
    </row>
    <row r="1148" spans="1:25" x14ac:dyDescent="0.3">
      <c r="A1148" s="2294"/>
      <c r="B1148" s="2294"/>
      <c r="C1148" s="2294"/>
      <c r="D1148" s="2294"/>
      <c r="E1148" s="1461"/>
      <c r="R1148" s="1462"/>
      <c r="S1148" s="1462"/>
      <c r="T1148" s="1462"/>
      <c r="U1148" s="1462"/>
      <c r="V1148" s="1462"/>
      <c r="W1148" s="1462"/>
      <c r="X1148" s="1462"/>
      <c r="Y1148" s="1462"/>
    </row>
    <row r="1149" spans="1:25" x14ac:dyDescent="0.3">
      <c r="A1149" s="2294"/>
      <c r="B1149" s="2294"/>
      <c r="C1149" s="2294"/>
      <c r="D1149" s="2294"/>
      <c r="E1149" s="1461"/>
      <c r="R1149" s="1462"/>
      <c r="S1149" s="1462"/>
      <c r="T1149" s="1462"/>
      <c r="U1149" s="1462"/>
      <c r="V1149" s="1462"/>
      <c r="W1149" s="1462"/>
      <c r="X1149" s="1462"/>
      <c r="Y1149" s="1462"/>
    </row>
    <row r="1150" spans="1:25" x14ac:dyDescent="0.3">
      <c r="A1150" s="2294"/>
      <c r="B1150" s="2294"/>
      <c r="C1150" s="2294"/>
      <c r="D1150" s="2294"/>
      <c r="E1150" s="1461"/>
      <c r="R1150" s="1462"/>
      <c r="S1150" s="1462"/>
      <c r="T1150" s="1462"/>
      <c r="U1150" s="1462"/>
      <c r="V1150" s="1462"/>
      <c r="W1150" s="1462"/>
      <c r="X1150" s="1462"/>
      <c r="Y1150" s="1462"/>
    </row>
    <row r="1151" spans="1:25" x14ac:dyDescent="0.3">
      <c r="A1151" s="2294"/>
      <c r="B1151" s="2294"/>
      <c r="C1151" s="2294"/>
      <c r="D1151" s="2294"/>
      <c r="E1151" s="1461"/>
      <c r="R1151" s="1462"/>
      <c r="S1151" s="1462"/>
      <c r="T1151" s="1462"/>
      <c r="U1151" s="1462"/>
      <c r="V1151" s="1462"/>
      <c r="W1151" s="1462"/>
      <c r="X1151" s="1462"/>
      <c r="Y1151" s="1462"/>
    </row>
    <row r="1152" spans="1:25" x14ac:dyDescent="0.3">
      <c r="A1152" s="2294"/>
      <c r="B1152" s="2294"/>
      <c r="C1152" s="2294"/>
      <c r="D1152" s="2294"/>
      <c r="E1152" s="1461"/>
      <c r="R1152" s="1462"/>
      <c r="S1152" s="1462"/>
      <c r="T1152" s="1462"/>
      <c r="U1152" s="1462"/>
      <c r="V1152" s="1462"/>
      <c r="W1152" s="1462"/>
      <c r="X1152" s="1462"/>
      <c r="Y1152" s="1462"/>
    </row>
    <row r="1153" spans="1:25" x14ac:dyDescent="0.3">
      <c r="A1153" s="2294"/>
      <c r="B1153" s="2294"/>
      <c r="C1153" s="2294"/>
      <c r="D1153" s="2294"/>
      <c r="E1153" s="1461"/>
      <c r="R1153" s="1462"/>
      <c r="S1153" s="1462"/>
      <c r="T1153" s="1462"/>
      <c r="U1153" s="1462"/>
      <c r="V1153" s="1462"/>
      <c r="W1153" s="1462"/>
      <c r="X1153" s="1462"/>
      <c r="Y1153" s="1462"/>
    </row>
    <row r="1154" spans="1:25" x14ac:dyDescent="0.3">
      <c r="A1154" s="2294"/>
      <c r="B1154" s="2294"/>
      <c r="C1154" s="2294"/>
      <c r="D1154" s="2294"/>
      <c r="E1154" s="1461"/>
      <c r="R1154" s="1462"/>
      <c r="S1154" s="1462"/>
      <c r="T1154" s="1462"/>
      <c r="U1154" s="1462"/>
      <c r="V1154" s="1462"/>
      <c r="W1154" s="1462"/>
      <c r="X1154" s="1462"/>
      <c r="Y1154" s="1462"/>
    </row>
    <row r="1155" spans="1:25" x14ac:dyDescent="0.3">
      <c r="A1155" s="2294"/>
      <c r="B1155" s="2294"/>
      <c r="C1155" s="2294"/>
      <c r="D1155" s="2294"/>
      <c r="E1155" s="1461"/>
      <c r="R1155" s="1462"/>
      <c r="S1155" s="1462"/>
      <c r="T1155" s="1462"/>
      <c r="U1155" s="1462"/>
      <c r="V1155" s="1462"/>
      <c r="W1155" s="1462"/>
      <c r="X1155" s="1462"/>
      <c r="Y1155" s="1462"/>
    </row>
    <row r="1156" spans="1:25" x14ac:dyDescent="0.3">
      <c r="A1156" s="2294"/>
      <c r="B1156" s="2294"/>
      <c r="C1156" s="2294"/>
      <c r="D1156" s="2294"/>
      <c r="E1156" s="1461"/>
      <c r="R1156" s="1462"/>
      <c r="S1156" s="1462"/>
      <c r="T1156" s="1462"/>
      <c r="U1156" s="1462"/>
      <c r="V1156" s="1462"/>
      <c r="W1156" s="1462"/>
      <c r="X1156" s="1462"/>
      <c r="Y1156" s="1462"/>
    </row>
    <row r="1157" spans="1:25" x14ac:dyDescent="0.3">
      <c r="A1157" s="2294"/>
      <c r="B1157" s="2294"/>
      <c r="C1157" s="2294"/>
      <c r="D1157" s="2294"/>
      <c r="E1157" s="1461"/>
      <c r="R1157" s="1462"/>
      <c r="S1157" s="1462"/>
      <c r="T1157" s="1462"/>
      <c r="U1157" s="1462"/>
      <c r="V1157" s="1462"/>
      <c r="W1157" s="1462"/>
      <c r="X1157" s="1462"/>
      <c r="Y1157" s="1462"/>
    </row>
    <row r="1158" spans="1:25" x14ac:dyDescent="0.3">
      <c r="A1158" s="2294"/>
      <c r="B1158" s="2294"/>
      <c r="C1158" s="2294"/>
      <c r="D1158" s="2294"/>
      <c r="E1158" s="1461"/>
      <c r="R1158" s="1462"/>
      <c r="S1158" s="1462"/>
      <c r="T1158" s="1462"/>
      <c r="U1158" s="1462"/>
      <c r="V1158" s="1462"/>
      <c r="W1158" s="1462"/>
      <c r="X1158" s="1462"/>
      <c r="Y1158" s="1462"/>
    </row>
    <row r="1159" spans="1:25" x14ac:dyDescent="0.3">
      <c r="A1159" s="2294"/>
      <c r="B1159" s="2294"/>
      <c r="C1159" s="2294"/>
      <c r="D1159" s="2294"/>
      <c r="E1159" s="1461"/>
      <c r="R1159" s="1462"/>
      <c r="S1159" s="1462"/>
      <c r="T1159" s="1462"/>
      <c r="U1159" s="1462"/>
      <c r="V1159" s="1462"/>
      <c r="W1159" s="1462"/>
      <c r="X1159" s="1462"/>
      <c r="Y1159" s="1462"/>
    </row>
    <row r="1160" spans="1:25" x14ac:dyDescent="0.3">
      <c r="A1160" s="2294"/>
      <c r="B1160" s="2294"/>
      <c r="C1160" s="2294"/>
      <c r="D1160" s="2294"/>
      <c r="E1160" s="1461"/>
      <c r="R1160" s="1462"/>
      <c r="S1160" s="1462"/>
      <c r="T1160" s="1462"/>
      <c r="U1160" s="1462"/>
      <c r="V1160" s="1462"/>
      <c r="W1160" s="1462"/>
      <c r="X1160" s="1462"/>
      <c r="Y1160" s="1462"/>
    </row>
    <row r="1161" spans="1:25" x14ac:dyDescent="0.3">
      <c r="A1161" s="2294"/>
      <c r="B1161" s="2294"/>
      <c r="C1161" s="2294"/>
      <c r="D1161" s="2294"/>
      <c r="E1161" s="1461"/>
      <c r="R1161" s="1462"/>
      <c r="S1161" s="1462"/>
      <c r="T1161" s="1462"/>
      <c r="U1161" s="1462"/>
      <c r="V1161" s="1462"/>
      <c r="W1161" s="1462"/>
      <c r="X1161" s="1462"/>
      <c r="Y1161" s="1462"/>
    </row>
    <row r="1162" spans="1:25" x14ac:dyDescent="0.3">
      <c r="A1162" s="2294"/>
      <c r="B1162" s="2294"/>
      <c r="C1162" s="2294"/>
      <c r="D1162" s="2294"/>
      <c r="E1162" s="1461"/>
      <c r="R1162" s="1462"/>
      <c r="S1162" s="1462"/>
      <c r="T1162" s="1462"/>
      <c r="U1162" s="1462"/>
      <c r="V1162" s="1462"/>
      <c r="W1162" s="1462"/>
      <c r="X1162" s="1462"/>
      <c r="Y1162" s="1462"/>
    </row>
    <row r="1163" spans="1:25" x14ac:dyDescent="0.3">
      <c r="A1163" s="2294"/>
      <c r="B1163" s="2294"/>
      <c r="C1163" s="2294"/>
      <c r="D1163" s="2294"/>
      <c r="E1163" s="1461"/>
      <c r="R1163" s="1462"/>
      <c r="S1163" s="1462"/>
      <c r="T1163" s="1462"/>
      <c r="U1163" s="1462"/>
      <c r="V1163" s="1462"/>
      <c r="W1163" s="1462"/>
      <c r="X1163" s="1462"/>
      <c r="Y1163" s="1462"/>
    </row>
    <row r="1164" spans="1:25" x14ac:dyDescent="0.3">
      <c r="A1164" s="2294"/>
      <c r="B1164" s="2294"/>
      <c r="C1164" s="2294"/>
      <c r="D1164" s="2294"/>
      <c r="E1164" s="1461"/>
      <c r="R1164" s="1462"/>
      <c r="S1164" s="1462"/>
      <c r="T1164" s="1462"/>
      <c r="U1164" s="1462"/>
      <c r="V1164" s="1462"/>
      <c r="W1164" s="1462"/>
      <c r="X1164" s="1462"/>
      <c r="Y1164" s="1462"/>
    </row>
    <row r="1165" spans="1:25" x14ac:dyDescent="0.3">
      <c r="A1165" s="2294"/>
      <c r="B1165" s="2294"/>
      <c r="C1165" s="2294"/>
      <c r="D1165" s="2294"/>
      <c r="E1165" s="1461"/>
      <c r="R1165" s="1462"/>
      <c r="S1165" s="1462"/>
      <c r="T1165" s="1462"/>
      <c r="U1165" s="1462"/>
      <c r="V1165" s="1462"/>
      <c r="W1165" s="1462"/>
      <c r="X1165" s="1462"/>
      <c r="Y1165" s="1462"/>
    </row>
    <row r="1166" spans="1:25" x14ac:dyDescent="0.3">
      <c r="A1166" s="2294"/>
      <c r="B1166" s="2294"/>
      <c r="C1166" s="2294"/>
      <c r="D1166" s="2294"/>
      <c r="E1166" s="1461"/>
      <c r="R1166" s="1462"/>
      <c r="S1166" s="1462"/>
      <c r="T1166" s="1462"/>
      <c r="U1166" s="1462"/>
      <c r="V1166" s="1462"/>
      <c r="W1166" s="1462"/>
      <c r="X1166" s="1462"/>
      <c r="Y1166" s="1462"/>
    </row>
    <row r="1167" spans="1:25" x14ac:dyDescent="0.3">
      <c r="A1167" s="2294"/>
      <c r="B1167" s="2294"/>
      <c r="C1167" s="2294"/>
      <c r="D1167" s="2294"/>
      <c r="E1167" s="1461"/>
      <c r="R1167" s="1462"/>
      <c r="S1167" s="1462"/>
      <c r="T1167" s="1462"/>
      <c r="U1167" s="1462"/>
      <c r="V1167" s="1462"/>
      <c r="W1167" s="1462"/>
      <c r="X1167" s="1462"/>
      <c r="Y1167" s="1462"/>
    </row>
    <row r="1168" spans="1:25" x14ac:dyDescent="0.3">
      <c r="A1168" s="2294"/>
      <c r="B1168" s="2294"/>
      <c r="C1168" s="2294"/>
      <c r="D1168" s="2294"/>
      <c r="E1168" s="1461"/>
      <c r="R1168" s="1462"/>
      <c r="S1168" s="1462"/>
      <c r="T1168" s="1462"/>
      <c r="U1168" s="1462"/>
      <c r="V1168" s="1462"/>
      <c r="W1168" s="1462"/>
      <c r="X1168" s="1462"/>
      <c r="Y1168" s="1462"/>
    </row>
    <row r="1169" spans="1:25" x14ac:dyDescent="0.3">
      <c r="A1169" s="2294"/>
      <c r="B1169" s="2294"/>
      <c r="C1169" s="2294"/>
      <c r="D1169" s="2294"/>
      <c r="E1169" s="1461"/>
      <c r="R1169" s="1462"/>
      <c r="S1169" s="1462"/>
      <c r="T1169" s="1462"/>
      <c r="U1169" s="1462"/>
      <c r="V1169" s="1462"/>
      <c r="W1169" s="1462"/>
      <c r="X1169" s="1462"/>
      <c r="Y1169" s="1462"/>
    </row>
    <row r="1170" spans="1:25" x14ac:dyDescent="0.3">
      <c r="A1170" s="2294"/>
      <c r="B1170" s="2294"/>
      <c r="C1170" s="2294"/>
      <c r="D1170" s="2294"/>
      <c r="E1170" s="1461"/>
      <c r="R1170" s="1462"/>
      <c r="S1170" s="1462"/>
      <c r="T1170" s="1462"/>
      <c r="U1170" s="1462"/>
      <c r="V1170" s="1462"/>
      <c r="W1170" s="1462"/>
      <c r="X1170" s="1462"/>
      <c r="Y1170" s="1462"/>
    </row>
    <row r="1171" spans="1:25" x14ac:dyDescent="0.3">
      <c r="A1171" s="2294"/>
      <c r="B1171" s="2294"/>
      <c r="C1171" s="2294"/>
      <c r="D1171" s="2294"/>
      <c r="E1171" s="1461"/>
      <c r="R1171" s="1462"/>
      <c r="S1171" s="1462"/>
      <c r="T1171" s="1462"/>
      <c r="U1171" s="1462"/>
      <c r="V1171" s="1462"/>
      <c r="W1171" s="1462"/>
      <c r="X1171" s="1462"/>
      <c r="Y1171" s="1462"/>
    </row>
    <row r="1172" spans="1:25" x14ac:dyDescent="0.3">
      <c r="A1172" s="2294"/>
      <c r="B1172" s="2294"/>
      <c r="C1172" s="2294"/>
      <c r="D1172" s="2294"/>
      <c r="E1172" s="1461"/>
      <c r="R1172" s="1462"/>
      <c r="S1172" s="1462"/>
      <c r="T1172" s="1462"/>
      <c r="U1172" s="1462"/>
      <c r="V1172" s="1462"/>
      <c r="W1172" s="1462"/>
      <c r="X1172" s="1462"/>
      <c r="Y1172" s="1462"/>
    </row>
    <row r="1173" spans="1:25" x14ac:dyDescent="0.3">
      <c r="A1173" s="2294"/>
      <c r="B1173" s="2294"/>
      <c r="C1173" s="2294"/>
      <c r="D1173" s="2294"/>
      <c r="E1173" s="1461"/>
      <c r="R1173" s="1462"/>
      <c r="S1173" s="1462"/>
      <c r="T1173" s="1462"/>
      <c r="U1173" s="1462"/>
      <c r="V1173" s="1462"/>
      <c r="W1173" s="1462"/>
      <c r="X1173" s="1462"/>
      <c r="Y1173" s="1462"/>
    </row>
    <row r="1174" spans="1:25" x14ac:dyDescent="0.3">
      <c r="A1174" s="2294"/>
      <c r="B1174" s="2294"/>
      <c r="C1174" s="2294"/>
      <c r="D1174" s="2294"/>
      <c r="E1174" s="1461"/>
      <c r="R1174" s="1462"/>
      <c r="S1174" s="1462"/>
      <c r="T1174" s="1462"/>
      <c r="U1174" s="1462"/>
      <c r="V1174" s="1462"/>
      <c r="W1174" s="1462"/>
      <c r="X1174" s="1462"/>
      <c r="Y1174" s="1462"/>
    </row>
    <row r="1175" spans="1:25" x14ac:dyDescent="0.3">
      <c r="A1175" s="2294"/>
      <c r="B1175" s="2294"/>
      <c r="C1175" s="2294"/>
      <c r="D1175" s="2294"/>
      <c r="E1175" s="1461"/>
      <c r="R1175" s="1462"/>
      <c r="S1175" s="1462"/>
      <c r="T1175" s="1462"/>
      <c r="U1175" s="1462"/>
      <c r="V1175" s="1462"/>
      <c r="W1175" s="1462"/>
      <c r="X1175" s="1462"/>
      <c r="Y1175" s="1462"/>
    </row>
    <row r="1176" spans="1:25" x14ac:dyDescent="0.3">
      <c r="A1176" s="2294"/>
      <c r="B1176" s="2294"/>
      <c r="C1176" s="2294"/>
      <c r="D1176" s="2294"/>
      <c r="E1176" s="1461"/>
      <c r="R1176" s="1462"/>
      <c r="S1176" s="1462"/>
      <c r="T1176" s="1462"/>
      <c r="U1176" s="1462"/>
      <c r="V1176" s="1462"/>
      <c r="W1176" s="1462"/>
      <c r="X1176" s="1462"/>
      <c r="Y1176" s="1462"/>
    </row>
    <row r="1177" spans="1:25" x14ac:dyDescent="0.3">
      <c r="A1177" s="2294"/>
      <c r="B1177" s="2294"/>
      <c r="C1177" s="2294"/>
      <c r="D1177" s="2294"/>
      <c r="E1177" s="1461"/>
      <c r="R1177" s="1462"/>
      <c r="S1177" s="1462"/>
      <c r="T1177" s="1462"/>
      <c r="U1177" s="1462"/>
      <c r="V1177" s="1462"/>
      <c r="W1177" s="1462"/>
      <c r="X1177" s="1462"/>
      <c r="Y1177" s="1462"/>
    </row>
    <row r="1178" spans="1:25" x14ac:dyDescent="0.3">
      <c r="A1178" s="2294"/>
      <c r="B1178" s="2294"/>
      <c r="C1178" s="2294"/>
      <c r="D1178" s="2294"/>
      <c r="E1178" s="1461"/>
      <c r="R1178" s="1462"/>
      <c r="S1178" s="1462"/>
      <c r="T1178" s="1462"/>
      <c r="U1178" s="1462"/>
      <c r="V1178" s="1462"/>
      <c r="W1178" s="1462"/>
      <c r="X1178" s="1462"/>
      <c r="Y1178" s="1462"/>
    </row>
    <row r="1179" spans="1:25" x14ac:dyDescent="0.3">
      <c r="A1179" s="2294"/>
      <c r="B1179" s="2294"/>
      <c r="C1179" s="2294"/>
      <c r="D1179" s="2294"/>
      <c r="E1179" s="1461"/>
      <c r="R1179" s="1462"/>
      <c r="S1179" s="1462"/>
      <c r="T1179" s="1462"/>
      <c r="U1179" s="1462"/>
      <c r="V1179" s="1462"/>
      <c r="W1179" s="1462"/>
      <c r="X1179" s="1462"/>
      <c r="Y1179" s="1462"/>
    </row>
    <row r="1180" spans="1:25" x14ac:dyDescent="0.3">
      <c r="A1180" s="2294"/>
      <c r="B1180" s="2294"/>
      <c r="C1180" s="2294"/>
      <c r="D1180" s="2294"/>
      <c r="E1180" s="1461"/>
      <c r="R1180" s="1462"/>
      <c r="S1180" s="1462"/>
      <c r="T1180" s="1462"/>
      <c r="U1180" s="1462"/>
      <c r="V1180" s="1462"/>
      <c r="W1180" s="1462"/>
      <c r="X1180" s="1462"/>
      <c r="Y1180" s="1462"/>
    </row>
    <row r="1181" spans="1:25" x14ac:dyDescent="0.3">
      <c r="A1181" s="2294"/>
      <c r="B1181" s="2294"/>
      <c r="C1181" s="2294"/>
      <c r="D1181" s="2294"/>
      <c r="E1181" s="1461"/>
      <c r="R1181" s="1462"/>
      <c r="S1181" s="1462"/>
      <c r="T1181" s="1462"/>
      <c r="U1181" s="1462"/>
      <c r="V1181" s="1462"/>
      <c r="W1181" s="1462"/>
      <c r="X1181" s="1462"/>
      <c r="Y1181" s="1462"/>
    </row>
    <row r="1182" spans="1:25" x14ac:dyDescent="0.3">
      <c r="A1182" s="2294"/>
      <c r="B1182" s="2294"/>
      <c r="C1182" s="2294"/>
      <c r="D1182" s="2294"/>
      <c r="E1182" s="1461"/>
      <c r="R1182" s="1462"/>
      <c r="S1182" s="1462"/>
      <c r="T1182" s="1462"/>
      <c r="U1182" s="1462"/>
      <c r="V1182" s="1462"/>
      <c r="W1182" s="1462"/>
      <c r="X1182" s="1462"/>
      <c r="Y1182" s="1462"/>
    </row>
    <row r="1183" spans="1:25" x14ac:dyDescent="0.3">
      <c r="A1183" s="2294"/>
      <c r="B1183" s="2294"/>
      <c r="C1183" s="2294"/>
      <c r="D1183" s="2294"/>
      <c r="E1183" s="1461"/>
      <c r="R1183" s="1462"/>
      <c r="S1183" s="1462"/>
      <c r="T1183" s="1462"/>
      <c r="U1183" s="1462"/>
      <c r="V1183" s="1462"/>
      <c r="W1183" s="1462"/>
      <c r="X1183" s="1462"/>
      <c r="Y1183" s="1462"/>
    </row>
    <row r="1184" spans="1:25" x14ac:dyDescent="0.3">
      <c r="A1184" s="2294"/>
      <c r="B1184" s="2294"/>
      <c r="C1184" s="2294"/>
      <c r="D1184" s="2294"/>
      <c r="E1184" s="1461"/>
      <c r="R1184" s="1462"/>
      <c r="S1184" s="1462"/>
      <c r="T1184" s="1462"/>
      <c r="U1184" s="1462"/>
      <c r="V1184" s="1462"/>
      <c r="W1184" s="1462"/>
      <c r="X1184" s="1462"/>
      <c r="Y1184" s="1462"/>
    </row>
    <row r="1185" spans="1:25" x14ac:dyDescent="0.3">
      <c r="A1185" s="2294"/>
      <c r="B1185" s="2294"/>
      <c r="C1185" s="2294"/>
      <c r="D1185" s="2294"/>
      <c r="E1185" s="1461"/>
      <c r="R1185" s="1462"/>
      <c r="S1185" s="1462"/>
      <c r="T1185" s="1462"/>
      <c r="U1185" s="1462"/>
      <c r="V1185" s="1462"/>
      <c r="W1185" s="1462"/>
      <c r="X1185" s="1462"/>
      <c r="Y1185" s="1462"/>
    </row>
    <row r="1186" spans="1:25" x14ac:dyDescent="0.3">
      <c r="A1186" s="2294"/>
      <c r="B1186" s="2294"/>
      <c r="C1186" s="2294"/>
      <c r="D1186" s="2294"/>
      <c r="E1186" s="1461"/>
      <c r="R1186" s="1462"/>
      <c r="S1186" s="1462"/>
      <c r="T1186" s="1462"/>
      <c r="U1186" s="1462"/>
      <c r="V1186" s="1462"/>
      <c r="W1186" s="1462"/>
      <c r="X1186" s="1462"/>
      <c r="Y1186" s="1462"/>
    </row>
    <row r="1187" spans="1:25" x14ac:dyDescent="0.3">
      <c r="A1187" s="2294"/>
      <c r="B1187" s="2294"/>
      <c r="C1187" s="2294"/>
      <c r="D1187" s="2294"/>
      <c r="E1187" s="1461"/>
      <c r="R1187" s="1462"/>
      <c r="S1187" s="1462"/>
      <c r="T1187" s="1462"/>
      <c r="U1187" s="1462"/>
      <c r="V1187" s="1462"/>
      <c r="W1187" s="1462"/>
      <c r="X1187" s="1462"/>
      <c r="Y1187" s="1462"/>
    </row>
    <row r="1188" spans="1:25" x14ac:dyDescent="0.3">
      <c r="A1188" s="2294"/>
      <c r="B1188" s="2294"/>
      <c r="C1188" s="2294"/>
      <c r="D1188" s="2294"/>
      <c r="E1188" s="1461"/>
      <c r="R1188" s="1462"/>
      <c r="S1188" s="1462"/>
      <c r="T1188" s="1462"/>
      <c r="U1188" s="1462"/>
      <c r="V1188" s="1462"/>
      <c r="W1188" s="1462"/>
      <c r="X1188" s="1462"/>
      <c r="Y1188" s="1462"/>
    </row>
    <row r="1189" spans="1:25" x14ac:dyDescent="0.3">
      <c r="A1189" s="2294"/>
      <c r="B1189" s="2294"/>
      <c r="C1189" s="2294"/>
      <c r="D1189" s="2294"/>
      <c r="E1189" s="1461"/>
      <c r="R1189" s="1462"/>
      <c r="S1189" s="1462"/>
      <c r="T1189" s="1462"/>
      <c r="U1189" s="1462"/>
      <c r="V1189" s="1462"/>
      <c r="W1189" s="1462"/>
      <c r="X1189" s="1462"/>
      <c r="Y1189" s="1462"/>
    </row>
    <row r="1190" spans="1:25" x14ac:dyDescent="0.3">
      <c r="A1190" s="2294"/>
      <c r="B1190" s="2294"/>
      <c r="C1190" s="2294"/>
      <c r="D1190" s="2294"/>
      <c r="E1190" s="1461"/>
      <c r="R1190" s="1462"/>
      <c r="S1190" s="1462"/>
      <c r="T1190" s="1462"/>
      <c r="U1190" s="1462"/>
      <c r="V1190" s="1462"/>
      <c r="W1190" s="1462"/>
      <c r="X1190" s="1462"/>
      <c r="Y1190" s="1462"/>
    </row>
    <row r="1191" spans="1:25" x14ac:dyDescent="0.3">
      <c r="A1191" s="2294"/>
      <c r="B1191" s="2294"/>
      <c r="C1191" s="2294"/>
      <c r="D1191" s="2294"/>
      <c r="E1191" s="1461"/>
      <c r="R1191" s="1462"/>
      <c r="S1191" s="1462"/>
      <c r="T1191" s="1462"/>
      <c r="U1191" s="1462"/>
      <c r="V1191" s="1462"/>
      <c r="W1191" s="1462"/>
      <c r="X1191" s="1462"/>
      <c r="Y1191" s="1462"/>
    </row>
    <row r="1192" spans="1:25" x14ac:dyDescent="0.3">
      <c r="A1192" s="2294"/>
      <c r="B1192" s="2294"/>
      <c r="C1192" s="2294"/>
      <c r="D1192" s="2294"/>
      <c r="E1192" s="1461"/>
      <c r="R1192" s="1462"/>
      <c r="S1192" s="1462"/>
      <c r="T1192" s="1462"/>
      <c r="U1192" s="1462"/>
      <c r="V1192" s="1462"/>
      <c r="W1192" s="1462"/>
      <c r="X1192" s="1462"/>
      <c r="Y1192" s="1462"/>
    </row>
    <row r="1193" spans="1:25" x14ac:dyDescent="0.3">
      <c r="A1193" s="2294"/>
      <c r="B1193" s="2294"/>
      <c r="C1193" s="2294"/>
      <c r="D1193" s="2294"/>
      <c r="E1193" s="1461"/>
      <c r="R1193" s="1462"/>
      <c r="S1193" s="1462"/>
      <c r="T1193" s="1462"/>
      <c r="U1193" s="1462"/>
      <c r="V1193" s="1462"/>
      <c r="W1193" s="1462"/>
      <c r="X1193" s="1462"/>
      <c r="Y1193" s="1462"/>
    </row>
    <row r="1194" spans="1:25" x14ac:dyDescent="0.3">
      <c r="A1194" s="2294"/>
      <c r="B1194" s="2294"/>
      <c r="C1194" s="2294"/>
      <c r="D1194" s="2294"/>
      <c r="E1194" s="1461"/>
      <c r="R1194" s="1462"/>
      <c r="S1194" s="1462"/>
      <c r="T1194" s="1462"/>
      <c r="U1194" s="1462"/>
      <c r="V1194" s="1462"/>
      <c r="W1194" s="1462"/>
      <c r="X1194" s="1462"/>
      <c r="Y1194" s="1462"/>
    </row>
    <row r="1195" spans="1:25" x14ac:dyDescent="0.3">
      <c r="A1195" s="2294"/>
      <c r="B1195" s="2294"/>
      <c r="C1195" s="2294"/>
      <c r="D1195" s="2294"/>
      <c r="E1195" s="1461"/>
      <c r="R1195" s="1462"/>
      <c r="S1195" s="1462"/>
      <c r="T1195" s="1462"/>
      <c r="U1195" s="1462"/>
      <c r="V1195" s="1462"/>
      <c r="W1195" s="1462"/>
      <c r="X1195" s="1462"/>
      <c r="Y1195" s="1462"/>
    </row>
    <row r="1196" spans="1:25" x14ac:dyDescent="0.3">
      <c r="A1196" s="2294"/>
      <c r="B1196" s="2294"/>
      <c r="C1196" s="2294"/>
      <c r="D1196" s="2294"/>
      <c r="E1196" s="1461"/>
      <c r="R1196" s="1462"/>
      <c r="S1196" s="1462"/>
      <c r="T1196" s="1462"/>
      <c r="U1196" s="1462"/>
      <c r="V1196" s="1462"/>
      <c r="W1196" s="1462"/>
      <c r="X1196" s="1462"/>
      <c r="Y1196" s="1462"/>
    </row>
    <row r="1197" spans="1:25" x14ac:dyDescent="0.3">
      <c r="A1197" s="2294"/>
      <c r="B1197" s="2294"/>
      <c r="C1197" s="2294"/>
      <c r="D1197" s="2294"/>
      <c r="E1197" s="1461"/>
      <c r="R1197" s="1462"/>
      <c r="S1197" s="1462"/>
      <c r="T1197" s="1462"/>
      <c r="U1197" s="1462"/>
      <c r="V1197" s="1462"/>
      <c r="W1197" s="1462"/>
      <c r="X1197" s="1462"/>
      <c r="Y1197" s="1462"/>
    </row>
    <row r="1198" spans="1:25" x14ac:dyDescent="0.3">
      <c r="A1198" s="2294"/>
      <c r="B1198" s="2294"/>
      <c r="C1198" s="2294"/>
      <c r="D1198" s="2294"/>
      <c r="E1198" s="1461"/>
      <c r="R1198" s="1462"/>
      <c r="S1198" s="1462"/>
      <c r="T1198" s="1462"/>
      <c r="U1198" s="1462"/>
      <c r="V1198" s="1462"/>
      <c r="W1198" s="1462"/>
      <c r="X1198" s="1462"/>
      <c r="Y1198" s="1462"/>
    </row>
    <row r="1199" spans="1:25" x14ac:dyDescent="0.3">
      <c r="A1199" s="2294"/>
      <c r="B1199" s="2294"/>
      <c r="C1199" s="2294"/>
      <c r="D1199" s="2294"/>
      <c r="E1199" s="1461"/>
      <c r="R1199" s="1462"/>
      <c r="S1199" s="1462"/>
      <c r="T1199" s="1462"/>
      <c r="U1199" s="1462"/>
      <c r="V1199" s="1462"/>
      <c r="W1199" s="1462"/>
      <c r="X1199" s="1462"/>
      <c r="Y1199" s="1462"/>
    </row>
    <row r="1200" spans="1:25" x14ac:dyDescent="0.3">
      <c r="A1200" s="2294"/>
      <c r="B1200" s="2294"/>
      <c r="C1200" s="2294"/>
      <c r="D1200" s="2294"/>
      <c r="E1200" s="1461"/>
      <c r="R1200" s="1462"/>
      <c r="S1200" s="1462"/>
      <c r="T1200" s="1462"/>
      <c r="U1200" s="1462"/>
      <c r="V1200" s="1462"/>
      <c r="W1200" s="1462"/>
      <c r="X1200" s="1462"/>
      <c r="Y1200" s="1462"/>
    </row>
    <row r="1201" spans="1:25" x14ac:dyDescent="0.3">
      <c r="A1201" s="2294"/>
      <c r="B1201" s="2294"/>
      <c r="C1201" s="2294"/>
      <c r="D1201" s="2294"/>
      <c r="E1201" s="1461"/>
      <c r="R1201" s="1462"/>
      <c r="S1201" s="1462"/>
      <c r="T1201" s="1462"/>
      <c r="U1201" s="1462"/>
      <c r="V1201" s="1462"/>
      <c r="W1201" s="1462"/>
      <c r="X1201" s="1462"/>
      <c r="Y1201" s="1462"/>
    </row>
    <row r="1202" spans="1:25" x14ac:dyDescent="0.3">
      <c r="A1202" s="2294"/>
      <c r="B1202" s="2294"/>
      <c r="C1202" s="2294"/>
      <c r="D1202" s="2294"/>
      <c r="E1202" s="1461"/>
      <c r="R1202" s="1462"/>
      <c r="S1202" s="1462"/>
      <c r="T1202" s="1462"/>
      <c r="U1202" s="1462"/>
      <c r="V1202" s="1462"/>
      <c r="W1202" s="1462"/>
      <c r="X1202" s="1462"/>
      <c r="Y1202" s="1462"/>
    </row>
    <row r="1203" spans="1:25" x14ac:dyDescent="0.3">
      <c r="A1203" s="2294"/>
      <c r="B1203" s="2294"/>
      <c r="C1203" s="2294"/>
      <c r="D1203" s="2294"/>
      <c r="E1203" s="1461"/>
      <c r="R1203" s="1462"/>
      <c r="S1203" s="1462"/>
      <c r="T1203" s="1462"/>
      <c r="U1203" s="1462"/>
      <c r="V1203" s="1462"/>
      <c r="W1203" s="1462"/>
      <c r="X1203" s="1462"/>
      <c r="Y1203" s="1462"/>
    </row>
    <row r="1204" spans="1:25" x14ac:dyDescent="0.3">
      <c r="A1204" s="2294"/>
      <c r="B1204" s="2294"/>
      <c r="C1204" s="2294"/>
      <c r="D1204" s="2294"/>
      <c r="E1204" s="1461"/>
      <c r="R1204" s="1462"/>
      <c r="S1204" s="1462"/>
      <c r="T1204" s="1462"/>
      <c r="U1204" s="1462"/>
      <c r="V1204" s="1462"/>
      <c r="W1204" s="1462"/>
      <c r="X1204" s="1462"/>
      <c r="Y1204" s="1462"/>
    </row>
    <row r="1205" spans="1:25" x14ac:dyDescent="0.3">
      <c r="A1205" s="2294"/>
      <c r="B1205" s="2294"/>
      <c r="C1205" s="2294"/>
      <c r="D1205" s="2294"/>
      <c r="E1205" s="1461"/>
      <c r="R1205" s="1462"/>
      <c r="S1205" s="1462"/>
      <c r="T1205" s="1462"/>
      <c r="U1205" s="1462"/>
      <c r="V1205" s="1462"/>
      <c r="W1205" s="1462"/>
      <c r="X1205" s="1462"/>
      <c r="Y1205" s="1462"/>
    </row>
    <row r="1206" spans="1:25" x14ac:dyDescent="0.3">
      <c r="A1206" s="2294"/>
      <c r="B1206" s="2294"/>
      <c r="C1206" s="2294"/>
      <c r="D1206" s="2294"/>
      <c r="E1206" s="1461"/>
      <c r="R1206" s="1462"/>
      <c r="S1206" s="1462"/>
      <c r="T1206" s="1462"/>
      <c r="U1206" s="1462"/>
      <c r="V1206" s="1462"/>
      <c r="W1206" s="1462"/>
      <c r="X1206" s="1462"/>
      <c r="Y1206" s="1462"/>
    </row>
    <row r="1207" spans="1:25" x14ac:dyDescent="0.3">
      <c r="A1207" s="2294"/>
      <c r="B1207" s="2294"/>
      <c r="C1207" s="2294"/>
      <c r="D1207" s="2294"/>
      <c r="E1207" s="1461"/>
      <c r="R1207" s="1462"/>
      <c r="S1207" s="1462"/>
      <c r="T1207" s="1462"/>
      <c r="U1207" s="1462"/>
      <c r="V1207" s="1462"/>
      <c r="W1207" s="1462"/>
      <c r="X1207" s="1462"/>
      <c r="Y1207" s="1462"/>
    </row>
    <row r="1208" spans="1:25" x14ac:dyDescent="0.3">
      <c r="A1208" s="2294"/>
      <c r="B1208" s="2294"/>
      <c r="C1208" s="2294"/>
      <c r="D1208" s="2294"/>
      <c r="E1208" s="1461"/>
      <c r="R1208" s="1462"/>
      <c r="S1208" s="1462"/>
      <c r="T1208" s="1462"/>
      <c r="U1208" s="1462"/>
      <c r="V1208" s="1462"/>
      <c r="W1208" s="1462"/>
      <c r="X1208" s="1462"/>
      <c r="Y1208" s="1462"/>
    </row>
    <row r="1209" spans="1:25" x14ac:dyDescent="0.3">
      <c r="A1209" s="2294"/>
      <c r="B1209" s="2294"/>
      <c r="C1209" s="2294"/>
      <c r="D1209" s="2294"/>
      <c r="E1209" s="1461"/>
      <c r="R1209" s="1462"/>
      <c r="S1209" s="1462"/>
      <c r="T1209" s="1462"/>
      <c r="U1209" s="1462"/>
      <c r="V1209" s="1462"/>
      <c r="W1209" s="1462"/>
      <c r="X1209" s="1462"/>
      <c r="Y1209" s="1462"/>
    </row>
    <row r="1210" spans="1:25" x14ac:dyDescent="0.3">
      <c r="A1210" s="2294"/>
      <c r="B1210" s="2294"/>
      <c r="C1210" s="2294"/>
      <c r="D1210" s="2294"/>
      <c r="E1210" s="1461"/>
      <c r="R1210" s="1462"/>
      <c r="S1210" s="1462"/>
      <c r="T1210" s="1462"/>
      <c r="U1210" s="1462"/>
      <c r="V1210" s="1462"/>
      <c r="W1210" s="1462"/>
      <c r="X1210" s="1462"/>
      <c r="Y1210" s="1462"/>
    </row>
    <row r="1211" spans="1:25" x14ac:dyDescent="0.3">
      <c r="A1211" s="2294"/>
      <c r="B1211" s="2294"/>
      <c r="C1211" s="2294"/>
      <c r="D1211" s="2294"/>
      <c r="E1211" s="1461"/>
      <c r="R1211" s="1462"/>
      <c r="S1211" s="1462"/>
      <c r="T1211" s="1462"/>
      <c r="U1211" s="1462"/>
      <c r="V1211" s="1462"/>
      <c r="W1211" s="1462"/>
      <c r="X1211" s="1462"/>
      <c r="Y1211" s="1462"/>
    </row>
    <row r="1212" spans="1:25" x14ac:dyDescent="0.3">
      <c r="A1212" s="2294"/>
      <c r="B1212" s="2294"/>
      <c r="C1212" s="2294"/>
      <c r="D1212" s="2294"/>
      <c r="E1212" s="1461"/>
      <c r="R1212" s="1462"/>
      <c r="S1212" s="1462"/>
      <c r="T1212" s="1462"/>
      <c r="U1212" s="1462"/>
      <c r="V1212" s="1462"/>
      <c r="W1212" s="1462"/>
      <c r="X1212" s="1462"/>
      <c r="Y1212" s="1462"/>
    </row>
    <row r="1213" spans="1:25" x14ac:dyDescent="0.3">
      <c r="A1213" s="2294"/>
      <c r="B1213" s="2294"/>
      <c r="C1213" s="2294"/>
      <c r="D1213" s="2294"/>
      <c r="E1213" s="1461"/>
      <c r="R1213" s="1462"/>
      <c r="S1213" s="1462"/>
      <c r="T1213" s="1462"/>
      <c r="U1213" s="1462"/>
      <c r="V1213" s="1462"/>
      <c r="W1213" s="1462"/>
      <c r="X1213" s="1462"/>
      <c r="Y1213" s="1462"/>
    </row>
    <row r="1214" spans="1:25" x14ac:dyDescent="0.3">
      <c r="A1214" s="2294"/>
      <c r="B1214" s="2294"/>
      <c r="C1214" s="2294"/>
      <c r="D1214" s="2294"/>
      <c r="E1214" s="1461"/>
      <c r="R1214" s="1462"/>
      <c r="S1214" s="1462"/>
      <c r="T1214" s="1462"/>
      <c r="U1214" s="1462"/>
      <c r="V1214" s="1462"/>
      <c r="W1214" s="1462"/>
      <c r="X1214" s="1462"/>
      <c r="Y1214" s="1462"/>
    </row>
    <row r="1215" spans="1:25" x14ac:dyDescent="0.3">
      <c r="A1215" s="2294"/>
      <c r="B1215" s="2294"/>
      <c r="C1215" s="2294"/>
      <c r="D1215" s="2294"/>
      <c r="E1215" s="1461"/>
      <c r="R1215" s="1462"/>
      <c r="S1215" s="1462"/>
      <c r="T1215" s="1462"/>
      <c r="U1215" s="1462"/>
      <c r="V1215" s="1462"/>
      <c r="W1215" s="1462"/>
      <c r="X1215" s="1462"/>
      <c r="Y1215" s="1462"/>
    </row>
    <row r="1216" spans="1:25" x14ac:dyDescent="0.3">
      <c r="A1216" s="2294"/>
      <c r="B1216" s="2294"/>
      <c r="C1216" s="2294"/>
      <c r="D1216" s="2294"/>
      <c r="E1216" s="1461"/>
      <c r="R1216" s="1462"/>
      <c r="S1216" s="1462"/>
      <c r="T1216" s="1462"/>
      <c r="U1216" s="1462"/>
      <c r="V1216" s="1462"/>
      <c r="W1216" s="1462"/>
      <c r="X1216" s="1462"/>
      <c r="Y1216" s="1462"/>
    </row>
    <row r="1217" spans="1:25" x14ac:dyDescent="0.3">
      <c r="A1217" s="2294"/>
      <c r="B1217" s="2294"/>
      <c r="C1217" s="2294"/>
      <c r="D1217" s="2294"/>
      <c r="E1217" s="1461"/>
      <c r="R1217" s="1462"/>
      <c r="S1217" s="1462"/>
      <c r="T1217" s="1462"/>
      <c r="U1217" s="1462"/>
      <c r="V1217" s="1462"/>
      <c r="W1217" s="1462"/>
      <c r="X1217" s="1462"/>
      <c r="Y1217" s="1462"/>
    </row>
    <row r="1218" spans="1:25" x14ac:dyDescent="0.3">
      <c r="A1218" s="2294"/>
      <c r="B1218" s="2294"/>
      <c r="C1218" s="2294"/>
      <c r="D1218" s="2294"/>
      <c r="E1218" s="1461"/>
      <c r="R1218" s="1462"/>
      <c r="S1218" s="1462"/>
      <c r="T1218" s="1462"/>
      <c r="U1218" s="1462"/>
      <c r="V1218" s="1462"/>
      <c r="W1218" s="1462"/>
      <c r="X1218" s="1462"/>
      <c r="Y1218" s="1462"/>
    </row>
    <row r="1219" spans="1:25" x14ac:dyDescent="0.3">
      <c r="A1219" s="2294"/>
      <c r="B1219" s="2294"/>
      <c r="C1219" s="2294"/>
      <c r="D1219" s="2294"/>
      <c r="E1219" s="1461"/>
      <c r="R1219" s="1462"/>
      <c r="S1219" s="1462"/>
      <c r="T1219" s="1462"/>
      <c r="U1219" s="1462"/>
      <c r="V1219" s="1462"/>
      <c r="W1219" s="1462"/>
      <c r="X1219" s="1462"/>
      <c r="Y1219" s="1462"/>
    </row>
    <row r="1220" spans="1:25" x14ac:dyDescent="0.3">
      <c r="A1220" s="2294"/>
      <c r="B1220" s="2294"/>
      <c r="C1220" s="2294"/>
      <c r="D1220" s="2294"/>
      <c r="E1220" s="1461"/>
      <c r="R1220" s="1462"/>
      <c r="S1220" s="1462"/>
      <c r="T1220" s="1462"/>
      <c r="U1220" s="1462"/>
      <c r="V1220" s="1462"/>
      <c r="W1220" s="1462"/>
      <c r="X1220" s="1462"/>
      <c r="Y1220" s="1462"/>
    </row>
    <row r="1221" spans="1:25" x14ac:dyDescent="0.3">
      <c r="A1221" s="2294"/>
      <c r="B1221" s="2294"/>
      <c r="C1221" s="2294"/>
      <c r="D1221" s="2294"/>
      <c r="E1221" s="1461"/>
      <c r="R1221" s="1462"/>
      <c r="S1221" s="1462"/>
      <c r="T1221" s="1462"/>
      <c r="U1221" s="1462"/>
      <c r="V1221" s="1462"/>
      <c r="W1221" s="1462"/>
      <c r="X1221" s="1462"/>
      <c r="Y1221" s="1462"/>
    </row>
    <row r="1222" spans="1:25" x14ac:dyDescent="0.3">
      <c r="A1222" s="2294"/>
      <c r="B1222" s="2294"/>
      <c r="C1222" s="2294"/>
      <c r="D1222" s="2294"/>
      <c r="E1222" s="1461"/>
      <c r="R1222" s="1462"/>
      <c r="S1222" s="1462"/>
      <c r="T1222" s="1462"/>
      <c r="U1222" s="1462"/>
      <c r="V1222" s="1462"/>
      <c r="W1222" s="1462"/>
      <c r="X1222" s="1462"/>
      <c r="Y1222" s="1462"/>
    </row>
    <row r="1223" spans="1:25" x14ac:dyDescent="0.3">
      <c r="A1223" s="2294"/>
      <c r="B1223" s="2294"/>
      <c r="C1223" s="2294"/>
      <c r="D1223" s="2294"/>
      <c r="E1223" s="1461"/>
      <c r="R1223" s="1462"/>
      <c r="S1223" s="1462"/>
      <c r="T1223" s="1462"/>
      <c r="U1223" s="1462"/>
      <c r="V1223" s="1462"/>
      <c r="W1223" s="1462"/>
      <c r="X1223" s="1462"/>
      <c r="Y1223" s="1462"/>
    </row>
    <row r="1224" spans="1:25" x14ac:dyDescent="0.3">
      <c r="A1224" s="2294"/>
      <c r="B1224" s="2294"/>
      <c r="C1224" s="2294"/>
      <c r="D1224" s="2294"/>
      <c r="E1224" s="1461"/>
      <c r="R1224" s="1462"/>
      <c r="S1224" s="1462"/>
      <c r="T1224" s="1462"/>
      <c r="U1224" s="1462"/>
      <c r="V1224" s="1462"/>
      <c r="W1224" s="1462"/>
      <c r="X1224" s="1462"/>
      <c r="Y1224" s="1462"/>
    </row>
    <row r="1225" spans="1:25" x14ac:dyDescent="0.3">
      <c r="A1225" s="2294"/>
      <c r="B1225" s="2294"/>
      <c r="C1225" s="2294"/>
      <c r="D1225" s="2294"/>
      <c r="E1225" s="1461"/>
      <c r="R1225" s="1462"/>
      <c r="S1225" s="1462"/>
      <c r="T1225" s="1462"/>
      <c r="U1225" s="1462"/>
      <c r="V1225" s="1462"/>
      <c r="W1225" s="1462"/>
      <c r="X1225" s="1462"/>
      <c r="Y1225" s="1462"/>
    </row>
    <row r="1226" spans="1:25" x14ac:dyDescent="0.3">
      <c r="A1226" s="2294"/>
      <c r="B1226" s="2294"/>
      <c r="C1226" s="2294"/>
      <c r="D1226" s="2294"/>
      <c r="E1226" s="1461"/>
      <c r="R1226" s="1462"/>
      <c r="S1226" s="1462"/>
      <c r="T1226" s="1462"/>
      <c r="U1226" s="1462"/>
      <c r="V1226" s="1462"/>
      <c r="W1226" s="1462"/>
      <c r="X1226" s="1462"/>
      <c r="Y1226" s="1462"/>
    </row>
    <row r="1227" spans="1:25" x14ac:dyDescent="0.3">
      <c r="A1227" s="2294"/>
      <c r="B1227" s="2294"/>
      <c r="C1227" s="2294"/>
      <c r="D1227" s="2294"/>
      <c r="E1227" s="1461"/>
      <c r="R1227" s="1462"/>
      <c r="S1227" s="1462"/>
      <c r="T1227" s="1462"/>
      <c r="U1227" s="1462"/>
      <c r="V1227" s="1462"/>
      <c r="W1227" s="1462"/>
      <c r="X1227" s="1462"/>
      <c r="Y1227" s="1462"/>
    </row>
    <row r="1228" spans="1:25" x14ac:dyDescent="0.3">
      <c r="A1228" s="2294"/>
      <c r="B1228" s="2294"/>
      <c r="C1228" s="2294"/>
      <c r="D1228" s="2294"/>
      <c r="E1228" s="1461"/>
      <c r="R1228" s="1462"/>
      <c r="S1228" s="1462"/>
      <c r="T1228" s="1462"/>
      <c r="U1228" s="1462"/>
      <c r="V1228" s="1462"/>
      <c r="W1228" s="1462"/>
      <c r="X1228" s="1462"/>
      <c r="Y1228" s="1462"/>
    </row>
    <row r="1229" spans="1:25" x14ac:dyDescent="0.3">
      <c r="A1229" s="2294"/>
      <c r="B1229" s="2294"/>
      <c r="C1229" s="2294"/>
      <c r="D1229" s="2294"/>
      <c r="E1229" s="1461"/>
      <c r="R1229" s="1462"/>
      <c r="S1229" s="1462"/>
      <c r="T1229" s="1462"/>
      <c r="U1229" s="1462"/>
      <c r="V1229" s="1462"/>
      <c r="W1229" s="1462"/>
      <c r="X1229" s="1462"/>
      <c r="Y1229" s="1462"/>
    </row>
    <row r="1230" spans="1:25" x14ac:dyDescent="0.3">
      <c r="A1230" s="2294"/>
      <c r="B1230" s="2294"/>
      <c r="C1230" s="2294"/>
      <c r="D1230" s="2294"/>
      <c r="E1230" s="1461"/>
      <c r="R1230" s="1462"/>
      <c r="S1230" s="1462"/>
      <c r="T1230" s="1462"/>
      <c r="U1230" s="1462"/>
      <c r="V1230" s="1462"/>
      <c r="W1230" s="1462"/>
      <c r="X1230" s="1462"/>
      <c r="Y1230" s="1462"/>
    </row>
    <row r="1231" spans="1:25" x14ac:dyDescent="0.3">
      <c r="A1231" s="2294"/>
      <c r="B1231" s="2294"/>
      <c r="C1231" s="2294"/>
      <c r="D1231" s="2294"/>
      <c r="E1231" s="1461"/>
      <c r="R1231" s="1462"/>
      <c r="S1231" s="1462"/>
      <c r="T1231" s="1462"/>
      <c r="U1231" s="1462"/>
      <c r="V1231" s="1462"/>
      <c r="W1231" s="1462"/>
      <c r="X1231" s="1462"/>
      <c r="Y1231" s="1462"/>
    </row>
    <row r="1232" spans="1:25" x14ac:dyDescent="0.3">
      <c r="A1232" s="2294"/>
      <c r="B1232" s="2294"/>
      <c r="C1232" s="2294"/>
      <c r="D1232" s="2294"/>
      <c r="E1232" s="1461"/>
      <c r="R1232" s="1462"/>
      <c r="S1232" s="1462"/>
      <c r="T1232" s="1462"/>
      <c r="U1232" s="1462"/>
      <c r="V1232" s="1462"/>
      <c r="W1232" s="1462"/>
      <c r="X1232" s="1462"/>
      <c r="Y1232" s="1462"/>
    </row>
    <row r="1233" spans="1:25" x14ac:dyDescent="0.3">
      <c r="A1233" s="2294"/>
      <c r="B1233" s="2294"/>
      <c r="C1233" s="2294"/>
      <c r="D1233" s="2294"/>
      <c r="E1233" s="1461"/>
      <c r="R1233" s="1462"/>
      <c r="S1233" s="1462"/>
      <c r="T1233" s="1462"/>
      <c r="U1233" s="1462"/>
      <c r="V1233" s="1462"/>
      <c r="W1233" s="1462"/>
      <c r="X1233" s="1462"/>
      <c r="Y1233" s="1462"/>
    </row>
    <row r="1234" spans="1:25" x14ac:dyDescent="0.3">
      <c r="A1234" s="2294"/>
      <c r="B1234" s="2294"/>
      <c r="C1234" s="2294"/>
      <c r="D1234" s="2294"/>
      <c r="E1234" s="1461"/>
      <c r="R1234" s="1462"/>
      <c r="S1234" s="1462"/>
      <c r="T1234" s="1462"/>
      <c r="U1234" s="1462"/>
      <c r="V1234" s="1462"/>
      <c r="W1234" s="1462"/>
      <c r="X1234" s="1462"/>
      <c r="Y1234" s="1462"/>
    </row>
    <row r="1235" spans="1:25" x14ac:dyDescent="0.3">
      <c r="A1235" s="2294"/>
      <c r="B1235" s="2294"/>
      <c r="C1235" s="2294"/>
      <c r="D1235" s="2294"/>
      <c r="E1235" s="1461"/>
      <c r="R1235" s="1462"/>
      <c r="S1235" s="1462"/>
      <c r="T1235" s="1462"/>
      <c r="U1235" s="1462"/>
      <c r="V1235" s="1462"/>
      <c r="W1235" s="1462"/>
      <c r="X1235" s="1462"/>
      <c r="Y1235" s="1462"/>
    </row>
    <row r="1236" spans="1:25" x14ac:dyDescent="0.3">
      <c r="A1236" s="2294"/>
      <c r="B1236" s="2294"/>
      <c r="C1236" s="2294"/>
      <c r="D1236" s="2294"/>
      <c r="E1236" s="1461"/>
      <c r="R1236" s="1462"/>
      <c r="S1236" s="1462"/>
      <c r="T1236" s="1462"/>
      <c r="U1236" s="1462"/>
      <c r="V1236" s="1462"/>
      <c r="W1236" s="1462"/>
      <c r="X1236" s="1462"/>
      <c r="Y1236" s="1462"/>
    </row>
    <row r="1237" spans="1:25" x14ac:dyDescent="0.3">
      <c r="A1237" s="2294"/>
      <c r="B1237" s="2294"/>
      <c r="C1237" s="2294"/>
      <c r="D1237" s="2294"/>
      <c r="E1237" s="1461"/>
      <c r="R1237" s="1462"/>
      <c r="S1237" s="1462"/>
      <c r="T1237" s="1462"/>
      <c r="U1237" s="1462"/>
      <c r="V1237" s="1462"/>
      <c r="W1237" s="1462"/>
      <c r="X1237" s="1462"/>
      <c r="Y1237" s="1462"/>
    </row>
    <row r="1238" spans="1:25" x14ac:dyDescent="0.3">
      <c r="A1238" s="2294"/>
      <c r="B1238" s="2294"/>
      <c r="C1238" s="2294"/>
      <c r="D1238" s="2294"/>
      <c r="E1238" s="1461"/>
      <c r="R1238" s="1462"/>
      <c r="S1238" s="1462"/>
      <c r="T1238" s="1462"/>
      <c r="U1238" s="1462"/>
      <c r="V1238" s="1462"/>
      <c r="W1238" s="1462"/>
      <c r="X1238" s="1462"/>
      <c r="Y1238" s="1462"/>
    </row>
    <row r="1239" spans="1:25" x14ac:dyDescent="0.3">
      <c r="A1239" s="2294"/>
      <c r="B1239" s="2294"/>
      <c r="C1239" s="2294"/>
      <c r="D1239" s="2294"/>
      <c r="E1239" s="1461"/>
      <c r="R1239" s="1462"/>
      <c r="S1239" s="1462"/>
      <c r="T1239" s="1462"/>
      <c r="U1239" s="1462"/>
      <c r="V1239" s="1462"/>
      <c r="W1239" s="1462"/>
      <c r="X1239" s="1462"/>
      <c r="Y1239" s="1462"/>
    </row>
    <row r="1240" spans="1:25" x14ac:dyDescent="0.3">
      <c r="A1240" s="2294"/>
      <c r="B1240" s="2294"/>
      <c r="C1240" s="2294"/>
      <c r="D1240" s="2294"/>
      <c r="E1240" s="1461"/>
      <c r="R1240" s="1462"/>
      <c r="S1240" s="1462"/>
      <c r="T1240" s="1462"/>
      <c r="U1240" s="1462"/>
      <c r="V1240" s="1462"/>
      <c r="W1240" s="1462"/>
      <c r="X1240" s="1462"/>
      <c r="Y1240" s="1462"/>
    </row>
    <row r="1241" spans="1:25" x14ac:dyDescent="0.3">
      <c r="A1241" s="2294"/>
      <c r="B1241" s="2294"/>
      <c r="C1241" s="2294"/>
      <c r="D1241" s="2294"/>
      <c r="E1241" s="1461"/>
      <c r="R1241" s="1462"/>
      <c r="S1241" s="1462"/>
      <c r="T1241" s="1462"/>
      <c r="U1241" s="1462"/>
      <c r="V1241" s="1462"/>
      <c r="W1241" s="1462"/>
      <c r="X1241" s="1462"/>
      <c r="Y1241" s="1462"/>
    </row>
    <row r="1242" spans="1:25" x14ac:dyDescent="0.3">
      <c r="A1242" s="2294"/>
      <c r="B1242" s="2294"/>
      <c r="C1242" s="2294"/>
      <c r="D1242" s="2294"/>
      <c r="E1242" s="1461"/>
      <c r="R1242" s="1462"/>
      <c r="S1242" s="1462"/>
      <c r="T1242" s="1462"/>
      <c r="U1242" s="1462"/>
      <c r="V1242" s="1462"/>
      <c r="W1242" s="1462"/>
      <c r="X1242" s="1462"/>
      <c r="Y1242" s="1462"/>
    </row>
    <row r="1243" spans="1:25" x14ac:dyDescent="0.3">
      <c r="A1243" s="2294"/>
      <c r="B1243" s="2294"/>
      <c r="C1243" s="2294"/>
      <c r="D1243" s="2294"/>
      <c r="E1243" s="1461"/>
      <c r="R1243" s="1462"/>
      <c r="S1243" s="1462"/>
      <c r="T1243" s="1462"/>
      <c r="U1243" s="1462"/>
      <c r="V1243" s="1462"/>
      <c r="W1243" s="1462"/>
      <c r="X1243" s="1462"/>
      <c r="Y1243" s="1462"/>
    </row>
    <row r="1244" spans="1:25" x14ac:dyDescent="0.3">
      <c r="A1244" s="2294"/>
      <c r="B1244" s="2294"/>
      <c r="C1244" s="2294"/>
      <c r="D1244" s="2294"/>
      <c r="E1244" s="1461"/>
      <c r="R1244" s="1462"/>
      <c r="S1244" s="1462"/>
      <c r="T1244" s="1462"/>
      <c r="U1244" s="1462"/>
      <c r="V1244" s="1462"/>
      <c r="W1244" s="1462"/>
      <c r="X1244" s="1462"/>
      <c r="Y1244" s="1462"/>
    </row>
    <row r="1245" spans="1:25" x14ac:dyDescent="0.3">
      <c r="A1245" s="2294"/>
      <c r="B1245" s="2294"/>
      <c r="C1245" s="2294"/>
      <c r="D1245" s="2294"/>
      <c r="E1245" s="1461"/>
      <c r="R1245" s="1462"/>
      <c r="S1245" s="1462"/>
      <c r="T1245" s="1462"/>
      <c r="U1245" s="1462"/>
      <c r="V1245" s="1462"/>
      <c r="W1245" s="1462"/>
      <c r="X1245" s="1462"/>
      <c r="Y1245" s="1462"/>
    </row>
    <row r="1246" spans="1:25" x14ac:dyDescent="0.3">
      <c r="A1246" s="2294"/>
      <c r="B1246" s="2294"/>
      <c r="C1246" s="2294"/>
      <c r="D1246" s="2294"/>
      <c r="E1246" s="1461"/>
      <c r="R1246" s="1462"/>
      <c r="S1246" s="1462"/>
      <c r="T1246" s="1462"/>
      <c r="U1246" s="1462"/>
      <c r="V1246" s="1462"/>
      <c r="W1246" s="1462"/>
      <c r="X1246" s="1462"/>
      <c r="Y1246" s="1462"/>
    </row>
    <row r="1247" spans="1:25" x14ac:dyDescent="0.3">
      <c r="A1247" s="2294"/>
      <c r="B1247" s="2294"/>
      <c r="C1247" s="2294"/>
      <c r="D1247" s="2294"/>
      <c r="E1247" s="1461"/>
      <c r="R1247" s="1462"/>
      <c r="S1247" s="1462"/>
      <c r="T1247" s="1462"/>
      <c r="U1247" s="1462"/>
      <c r="V1247" s="1462"/>
      <c r="W1247" s="1462"/>
      <c r="X1247" s="1462"/>
      <c r="Y1247" s="1462"/>
    </row>
    <row r="1248" spans="1:25" x14ac:dyDescent="0.3">
      <c r="A1248" s="2294"/>
      <c r="B1248" s="2294"/>
      <c r="C1248" s="2294"/>
      <c r="D1248" s="2294"/>
      <c r="E1248" s="1461"/>
      <c r="R1248" s="1462"/>
      <c r="S1248" s="1462"/>
      <c r="T1248" s="1462"/>
      <c r="U1248" s="1462"/>
      <c r="V1248" s="1462"/>
      <c r="W1248" s="1462"/>
      <c r="X1248" s="1462"/>
      <c r="Y1248" s="1462"/>
    </row>
    <row r="1249" spans="1:25" x14ac:dyDescent="0.3">
      <c r="A1249" s="2294"/>
      <c r="B1249" s="2294"/>
      <c r="C1249" s="2294"/>
      <c r="D1249" s="2294"/>
      <c r="E1249" s="1461"/>
      <c r="R1249" s="1462"/>
      <c r="S1249" s="1462"/>
      <c r="T1249" s="1462"/>
      <c r="U1249" s="1462"/>
      <c r="V1249" s="1462"/>
      <c r="W1249" s="1462"/>
      <c r="X1249" s="1462"/>
      <c r="Y1249" s="1462"/>
    </row>
    <row r="1250" spans="1:25" x14ac:dyDescent="0.3">
      <c r="A1250" s="2294"/>
      <c r="B1250" s="2294"/>
      <c r="C1250" s="2294"/>
      <c r="D1250" s="2294"/>
      <c r="E1250" s="1461"/>
      <c r="R1250" s="1462"/>
      <c r="S1250" s="1462"/>
      <c r="T1250" s="1462"/>
      <c r="U1250" s="1462"/>
      <c r="V1250" s="1462"/>
      <c r="W1250" s="1462"/>
      <c r="X1250" s="1462"/>
      <c r="Y1250" s="1462"/>
    </row>
    <row r="1251" spans="1:25" x14ac:dyDescent="0.3">
      <c r="A1251" s="2294"/>
      <c r="B1251" s="2294"/>
      <c r="C1251" s="2294"/>
      <c r="D1251" s="2294"/>
      <c r="E1251" s="1461"/>
      <c r="R1251" s="1462"/>
      <c r="S1251" s="1462"/>
      <c r="T1251" s="1462"/>
      <c r="U1251" s="1462"/>
      <c r="V1251" s="1462"/>
      <c r="W1251" s="1462"/>
      <c r="X1251" s="1462"/>
      <c r="Y1251" s="1462"/>
    </row>
    <row r="1252" spans="1:25" x14ac:dyDescent="0.3">
      <c r="A1252" s="2294"/>
      <c r="B1252" s="2294"/>
      <c r="C1252" s="2294"/>
      <c r="D1252" s="2294"/>
      <c r="E1252" s="1461"/>
      <c r="R1252" s="1462"/>
      <c r="S1252" s="1462"/>
      <c r="T1252" s="1462"/>
      <c r="U1252" s="1462"/>
      <c r="V1252" s="1462"/>
      <c r="W1252" s="1462"/>
      <c r="X1252" s="1462"/>
      <c r="Y1252" s="1462"/>
    </row>
    <row r="1253" spans="1:25" x14ac:dyDescent="0.3">
      <c r="A1253" s="2294"/>
      <c r="B1253" s="2294"/>
      <c r="C1253" s="2294"/>
      <c r="D1253" s="2294"/>
      <c r="E1253" s="1461"/>
      <c r="R1253" s="1462"/>
      <c r="S1253" s="1462"/>
      <c r="T1253" s="1462"/>
      <c r="U1253" s="1462"/>
      <c r="V1253" s="1462"/>
      <c r="W1253" s="1462"/>
      <c r="X1253" s="1462"/>
      <c r="Y1253" s="1462"/>
    </row>
    <row r="1254" spans="1:25" x14ac:dyDescent="0.3">
      <c r="A1254" s="2294"/>
      <c r="B1254" s="2294"/>
      <c r="C1254" s="2294"/>
      <c r="D1254" s="2294"/>
      <c r="E1254" s="1461"/>
      <c r="R1254" s="1462"/>
      <c r="S1254" s="1462"/>
      <c r="T1254" s="1462"/>
      <c r="U1254" s="1462"/>
      <c r="V1254" s="1462"/>
      <c r="W1254" s="1462"/>
      <c r="X1254" s="1462"/>
      <c r="Y1254" s="1462"/>
    </row>
    <row r="1255" spans="1:25" x14ac:dyDescent="0.3">
      <c r="A1255" s="2294"/>
      <c r="B1255" s="2294"/>
      <c r="C1255" s="2294"/>
      <c r="D1255" s="2294"/>
      <c r="E1255" s="1461"/>
      <c r="R1255" s="1462"/>
      <c r="S1255" s="1462"/>
      <c r="T1255" s="1462"/>
      <c r="U1255" s="1462"/>
      <c r="V1255" s="1462"/>
      <c r="W1255" s="1462"/>
      <c r="X1255" s="1462"/>
      <c r="Y1255" s="1462"/>
    </row>
    <row r="1256" spans="1:25" x14ac:dyDescent="0.3">
      <c r="A1256" s="2294"/>
      <c r="B1256" s="2294"/>
      <c r="C1256" s="2294"/>
      <c r="D1256" s="2294"/>
      <c r="E1256" s="1461"/>
      <c r="R1256" s="1462"/>
      <c r="S1256" s="1462"/>
      <c r="T1256" s="1462"/>
      <c r="U1256" s="1462"/>
      <c r="V1256" s="1462"/>
      <c r="W1256" s="1462"/>
      <c r="X1256" s="1462"/>
      <c r="Y1256" s="1462"/>
    </row>
    <row r="1257" spans="1:25" x14ac:dyDescent="0.3">
      <c r="A1257" s="2294"/>
      <c r="B1257" s="2294"/>
      <c r="C1257" s="2294"/>
      <c r="D1257" s="2294"/>
      <c r="E1257" s="1461"/>
      <c r="R1257" s="1462"/>
      <c r="S1257" s="1462"/>
      <c r="T1257" s="1462"/>
      <c r="U1257" s="1462"/>
      <c r="V1257" s="1462"/>
      <c r="W1257" s="1462"/>
      <c r="X1257" s="1462"/>
      <c r="Y1257" s="1462"/>
    </row>
    <row r="1258" spans="1:25" x14ac:dyDescent="0.3">
      <c r="A1258" s="2294"/>
      <c r="B1258" s="2294"/>
      <c r="C1258" s="2294"/>
      <c r="D1258" s="2294"/>
      <c r="E1258" s="1461"/>
      <c r="R1258" s="1462"/>
      <c r="S1258" s="1462"/>
      <c r="T1258" s="1462"/>
      <c r="U1258" s="1462"/>
      <c r="V1258" s="1462"/>
      <c r="W1258" s="1462"/>
      <c r="X1258" s="1462"/>
      <c r="Y1258" s="1462"/>
    </row>
    <row r="1259" spans="1:25" x14ac:dyDescent="0.3">
      <c r="A1259" s="2294"/>
      <c r="B1259" s="2294"/>
      <c r="C1259" s="2294"/>
      <c r="D1259" s="2294"/>
      <c r="E1259" s="1461"/>
      <c r="R1259" s="1462"/>
      <c r="S1259" s="1462"/>
      <c r="T1259" s="1462"/>
      <c r="U1259" s="1462"/>
      <c r="V1259" s="1462"/>
      <c r="W1259" s="1462"/>
      <c r="X1259" s="1462"/>
      <c r="Y1259" s="1462"/>
    </row>
    <row r="1260" spans="1:25" x14ac:dyDescent="0.3">
      <c r="A1260" s="2294"/>
      <c r="B1260" s="2294"/>
      <c r="C1260" s="2294"/>
      <c r="D1260" s="2294"/>
      <c r="E1260" s="1461"/>
      <c r="R1260" s="1462"/>
      <c r="S1260" s="1462"/>
      <c r="T1260" s="1462"/>
      <c r="U1260" s="1462"/>
      <c r="V1260" s="1462"/>
      <c r="W1260" s="1462"/>
      <c r="X1260" s="1462"/>
      <c r="Y1260" s="1462"/>
    </row>
    <row r="1261" spans="1:25" x14ac:dyDescent="0.3">
      <c r="A1261" s="2294"/>
      <c r="B1261" s="2294"/>
      <c r="C1261" s="2294"/>
      <c r="D1261" s="2294"/>
      <c r="E1261" s="1461"/>
      <c r="R1261" s="1462"/>
      <c r="S1261" s="1462"/>
      <c r="T1261" s="1462"/>
      <c r="U1261" s="1462"/>
      <c r="V1261" s="1462"/>
      <c r="W1261" s="1462"/>
      <c r="X1261" s="1462"/>
      <c r="Y1261" s="1462"/>
    </row>
    <row r="1262" spans="1:25" x14ac:dyDescent="0.3">
      <c r="A1262" s="2294"/>
      <c r="B1262" s="2294"/>
      <c r="C1262" s="2294"/>
      <c r="D1262" s="2294"/>
      <c r="E1262" s="1461"/>
      <c r="R1262" s="1462"/>
      <c r="S1262" s="1462"/>
      <c r="T1262" s="1462"/>
      <c r="U1262" s="1462"/>
      <c r="V1262" s="1462"/>
      <c r="W1262" s="1462"/>
      <c r="X1262" s="1462"/>
      <c r="Y1262" s="1462"/>
    </row>
    <row r="1263" spans="1:25" x14ac:dyDescent="0.3">
      <c r="A1263" s="2294"/>
      <c r="B1263" s="2294"/>
      <c r="C1263" s="2294"/>
      <c r="D1263" s="2294"/>
      <c r="E1263" s="1461"/>
      <c r="R1263" s="1462"/>
      <c r="S1263" s="1462"/>
      <c r="T1263" s="1462"/>
      <c r="U1263" s="1462"/>
      <c r="V1263" s="1462"/>
      <c r="W1263" s="1462"/>
      <c r="X1263" s="1462"/>
      <c r="Y1263" s="1462"/>
    </row>
    <row r="1264" spans="1:25" x14ac:dyDescent="0.3">
      <c r="A1264" s="2294"/>
      <c r="B1264" s="2294"/>
      <c r="C1264" s="2294"/>
      <c r="D1264" s="2294"/>
      <c r="E1264" s="1461"/>
      <c r="R1264" s="1462"/>
      <c r="S1264" s="1462"/>
      <c r="T1264" s="1462"/>
      <c r="U1264" s="1462"/>
      <c r="V1264" s="1462"/>
      <c r="W1264" s="1462"/>
      <c r="X1264" s="1462"/>
      <c r="Y1264" s="1462"/>
    </row>
    <row r="1265" spans="1:25" x14ac:dyDescent="0.3">
      <c r="A1265" s="2294"/>
      <c r="B1265" s="2294"/>
      <c r="C1265" s="2294"/>
      <c r="D1265" s="2294"/>
      <c r="E1265" s="1461"/>
      <c r="R1265" s="1462"/>
      <c r="S1265" s="1462"/>
      <c r="T1265" s="1462"/>
      <c r="U1265" s="1462"/>
      <c r="V1265" s="1462"/>
      <c r="W1265" s="1462"/>
      <c r="X1265" s="1462"/>
      <c r="Y1265" s="1462"/>
    </row>
    <row r="1266" spans="1:25" x14ac:dyDescent="0.3">
      <c r="A1266" s="2294"/>
      <c r="B1266" s="2294"/>
      <c r="C1266" s="2294"/>
      <c r="D1266" s="2294"/>
      <c r="E1266" s="1461"/>
      <c r="R1266" s="1462"/>
      <c r="S1266" s="1462"/>
      <c r="T1266" s="1462"/>
      <c r="U1266" s="1462"/>
      <c r="V1266" s="1462"/>
      <c r="W1266" s="1462"/>
      <c r="X1266" s="1462"/>
      <c r="Y1266" s="1462"/>
    </row>
    <row r="1267" spans="1:25" x14ac:dyDescent="0.3">
      <c r="A1267" s="2294"/>
      <c r="B1267" s="2294"/>
      <c r="C1267" s="2294"/>
      <c r="D1267" s="2294"/>
      <c r="E1267" s="1461"/>
      <c r="R1267" s="1462"/>
      <c r="S1267" s="1462"/>
      <c r="T1267" s="1462"/>
      <c r="U1267" s="1462"/>
      <c r="V1267" s="1462"/>
      <c r="W1267" s="1462"/>
      <c r="X1267" s="1462"/>
      <c r="Y1267" s="1462"/>
    </row>
    <row r="1268" spans="1:25" x14ac:dyDescent="0.3">
      <c r="A1268" s="2294"/>
      <c r="B1268" s="2294"/>
      <c r="C1268" s="2294"/>
      <c r="D1268" s="2294"/>
      <c r="E1268" s="1461"/>
      <c r="R1268" s="1462"/>
      <c r="S1268" s="1462"/>
      <c r="T1268" s="1462"/>
      <c r="U1268" s="1462"/>
      <c r="V1268" s="1462"/>
      <c r="W1268" s="1462"/>
      <c r="X1268" s="1462"/>
      <c r="Y1268" s="1462"/>
    </row>
    <row r="1269" spans="1:25" x14ac:dyDescent="0.3">
      <c r="A1269" s="2294"/>
      <c r="B1269" s="2294"/>
      <c r="C1269" s="2294"/>
      <c r="D1269" s="2294"/>
      <c r="E1269" s="1461"/>
      <c r="R1269" s="1462"/>
      <c r="S1269" s="1462"/>
      <c r="T1269" s="1462"/>
      <c r="U1269" s="1462"/>
      <c r="V1269" s="1462"/>
      <c r="W1269" s="1462"/>
      <c r="X1269" s="1462"/>
      <c r="Y1269" s="1462"/>
    </row>
    <row r="1270" spans="1:25" x14ac:dyDescent="0.3">
      <c r="A1270" s="2294"/>
      <c r="B1270" s="2294"/>
      <c r="C1270" s="2294"/>
      <c r="D1270" s="2294"/>
      <c r="E1270" s="1461"/>
      <c r="R1270" s="1462"/>
      <c r="S1270" s="1462"/>
      <c r="T1270" s="1462"/>
      <c r="U1270" s="1462"/>
      <c r="V1270" s="1462"/>
      <c r="W1270" s="1462"/>
      <c r="X1270" s="1462"/>
      <c r="Y1270" s="1462"/>
    </row>
    <row r="1271" spans="1:25" x14ac:dyDescent="0.3">
      <c r="A1271" s="2294"/>
      <c r="B1271" s="2294"/>
      <c r="C1271" s="2294"/>
      <c r="D1271" s="2294"/>
      <c r="E1271" s="1461"/>
      <c r="R1271" s="1462"/>
      <c r="S1271" s="1462"/>
      <c r="T1271" s="1462"/>
      <c r="U1271" s="1462"/>
      <c r="V1271" s="1462"/>
      <c r="W1271" s="1462"/>
      <c r="X1271" s="1462"/>
      <c r="Y1271" s="1462"/>
    </row>
    <row r="1272" spans="1:25" x14ac:dyDescent="0.3">
      <c r="A1272" s="2294"/>
      <c r="B1272" s="2294"/>
      <c r="C1272" s="2294"/>
      <c r="D1272" s="2294"/>
      <c r="E1272" s="1461"/>
      <c r="R1272" s="1462"/>
      <c r="S1272" s="1462"/>
      <c r="T1272" s="1462"/>
      <c r="U1272" s="1462"/>
      <c r="V1272" s="1462"/>
      <c r="W1272" s="1462"/>
      <c r="X1272" s="1462"/>
      <c r="Y1272" s="1462"/>
    </row>
    <row r="1273" spans="1:25" x14ac:dyDescent="0.3">
      <c r="A1273" s="2294"/>
      <c r="B1273" s="2294"/>
      <c r="C1273" s="2294"/>
      <c r="D1273" s="2294"/>
      <c r="E1273" s="1461"/>
      <c r="R1273" s="1462"/>
      <c r="S1273" s="1462"/>
      <c r="T1273" s="1462"/>
      <c r="U1273" s="1462"/>
      <c r="V1273" s="1462"/>
      <c r="W1273" s="1462"/>
      <c r="X1273" s="1462"/>
      <c r="Y1273" s="1462"/>
    </row>
    <row r="1274" spans="1:25" x14ac:dyDescent="0.3">
      <c r="A1274" s="2294"/>
      <c r="B1274" s="2294"/>
      <c r="C1274" s="2294"/>
      <c r="D1274" s="2294"/>
      <c r="E1274" s="1461"/>
      <c r="R1274" s="1462"/>
      <c r="S1274" s="1462"/>
      <c r="T1274" s="1462"/>
      <c r="U1274" s="1462"/>
      <c r="V1274" s="1462"/>
      <c r="W1274" s="1462"/>
      <c r="X1274" s="1462"/>
      <c r="Y1274" s="1462"/>
    </row>
    <row r="1275" spans="1:25" x14ac:dyDescent="0.3">
      <c r="A1275" s="2294"/>
      <c r="B1275" s="2294"/>
      <c r="C1275" s="2294"/>
      <c r="D1275" s="2294"/>
      <c r="E1275" s="1461"/>
      <c r="R1275" s="1462"/>
      <c r="S1275" s="1462"/>
      <c r="T1275" s="1462"/>
      <c r="U1275" s="1462"/>
      <c r="V1275" s="1462"/>
      <c r="W1275" s="1462"/>
      <c r="X1275" s="1462"/>
      <c r="Y1275" s="1462"/>
    </row>
    <row r="1276" spans="1:25" x14ac:dyDescent="0.3">
      <c r="A1276" s="2294"/>
      <c r="B1276" s="2294"/>
      <c r="C1276" s="2294"/>
      <c r="D1276" s="2294"/>
      <c r="E1276" s="1461"/>
      <c r="R1276" s="1462"/>
      <c r="S1276" s="1462"/>
      <c r="T1276" s="1462"/>
      <c r="U1276" s="1462"/>
      <c r="V1276" s="1462"/>
      <c r="W1276" s="1462"/>
      <c r="X1276" s="1462"/>
      <c r="Y1276" s="1462"/>
    </row>
    <row r="1277" spans="1:25" x14ac:dyDescent="0.3">
      <c r="A1277" s="2294"/>
      <c r="B1277" s="2294"/>
      <c r="C1277" s="2294"/>
      <c r="D1277" s="2294"/>
      <c r="E1277" s="1461"/>
      <c r="R1277" s="1462"/>
      <c r="S1277" s="1462"/>
      <c r="T1277" s="1462"/>
      <c r="U1277" s="1462"/>
      <c r="V1277" s="1462"/>
      <c r="W1277" s="1462"/>
      <c r="X1277" s="1462"/>
      <c r="Y1277" s="1462"/>
    </row>
    <row r="1278" spans="1:25" x14ac:dyDescent="0.3">
      <c r="A1278" s="2294"/>
      <c r="B1278" s="2294"/>
      <c r="C1278" s="2294"/>
      <c r="D1278" s="2294"/>
      <c r="E1278" s="1461"/>
      <c r="R1278" s="1462"/>
      <c r="S1278" s="1462"/>
      <c r="T1278" s="1462"/>
      <c r="U1278" s="1462"/>
      <c r="V1278" s="1462"/>
      <c r="W1278" s="1462"/>
      <c r="X1278" s="1462"/>
      <c r="Y1278" s="1462"/>
    </row>
    <row r="1279" spans="1:25" x14ac:dyDescent="0.3">
      <c r="A1279" s="2294"/>
      <c r="B1279" s="2294"/>
      <c r="C1279" s="2294"/>
      <c r="D1279" s="2294"/>
      <c r="E1279" s="1461"/>
      <c r="R1279" s="1462"/>
      <c r="S1279" s="1462"/>
      <c r="T1279" s="1462"/>
      <c r="U1279" s="1462"/>
      <c r="V1279" s="1462"/>
      <c r="W1279" s="1462"/>
      <c r="X1279" s="1462"/>
      <c r="Y1279" s="1462"/>
    </row>
    <row r="1280" spans="1:25" x14ac:dyDescent="0.3">
      <c r="A1280" s="2294"/>
      <c r="B1280" s="2294"/>
      <c r="C1280" s="2294"/>
      <c r="D1280" s="2294"/>
      <c r="E1280" s="1461"/>
      <c r="R1280" s="1462"/>
      <c r="S1280" s="1462"/>
      <c r="T1280" s="1462"/>
      <c r="U1280" s="1462"/>
      <c r="V1280" s="1462"/>
      <c r="W1280" s="1462"/>
      <c r="X1280" s="1462"/>
      <c r="Y1280" s="1462"/>
    </row>
    <row r="1281" spans="1:25" x14ac:dyDescent="0.3">
      <c r="A1281" s="2294"/>
      <c r="B1281" s="2294"/>
      <c r="C1281" s="2294"/>
      <c r="D1281" s="2294"/>
      <c r="E1281" s="1461"/>
      <c r="R1281" s="1462"/>
      <c r="S1281" s="1462"/>
      <c r="T1281" s="1462"/>
      <c r="U1281" s="1462"/>
      <c r="V1281" s="1462"/>
      <c r="W1281" s="1462"/>
      <c r="X1281" s="1462"/>
      <c r="Y1281" s="1462"/>
    </row>
    <row r="1282" spans="1:25" x14ac:dyDescent="0.3">
      <c r="A1282" s="2294"/>
      <c r="B1282" s="2294"/>
      <c r="C1282" s="2294"/>
      <c r="D1282" s="2294"/>
      <c r="E1282" s="1461"/>
      <c r="R1282" s="1462"/>
      <c r="S1282" s="1462"/>
      <c r="T1282" s="1462"/>
      <c r="U1282" s="1462"/>
      <c r="V1282" s="1462"/>
      <c r="W1282" s="1462"/>
      <c r="X1282" s="1462"/>
      <c r="Y1282" s="1462"/>
    </row>
    <row r="1283" spans="1:25" x14ac:dyDescent="0.3">
      <c r="A1283" s="2294"/>
      <c r="B1283" s="2294"/>
      <c r="C1283" s="2294"/>
      <c r="D1283" s="2294"/>
      <c r="E1283" s="1461"/>
      <c r="R1283" s="1462"/>
      <c r="S1283" s="1462"/>
      <c r="T1283" s="1462"/>
      <c r="U1283" s="1462"/>
      <c r="V1283" s="1462"/>
      <c r="W1283" s="1462"/>
      <c r="X1283" s="1462"/>
      <c r="Y1283" s="1462"/>
    </row>
    <row r="1284" spans="1:25" x14ac:dyDescent="0.3">
      <c r="A1284" s="2294"/>
      <c r="B1284" s="2294"/>
      <c r="C1284" s="2294"/>
      <c r="D1284" s="2294"/>
      <c r="E1284" s="1461"/>
      <c r="R1284" s="1462"/>
      <c r="S1284" s="1462"/>
      <c r="T1284" s="1462"/>
      <c r="U1284" s="1462"/>
      <c r="V1284" s="1462"/>
      <c r="W1284" s="1462"/>
      <c r="X1284" s="1462"/>
      <c r="Y1284" s="1462"/>
    </row>
    <row r="1285" spans="1:25" x14ac:dyDescent="0.3">
      <c r="A1285" s="2294"/>
      <c r="B1285" s="2294"/>
      <c r="C1285" s="2294"/>
      <c r="D1285" s="2294"/>
      <c r="E1285" s="1461"/>
      <c r="R1285" s="1462"/>
      <c r="S1285" s="1462"/>
      <c r="T1285" s="1462"/>
      <c r="U1285" s="1462"/>
      <c r="V1285" s="1462"/>
      <c r="W1285" s="1462"/>
      <c r="X1285" s="1462"/>
      <c r="Y1285" s="1462"/>
    </row>
    <row r="1286" spans="1:25" x14ac:dyDescent="0.3">
      <c r="A1286" s="2294"/>
      <c r="B1286" s="2294"/>
      <c r="C1286" s="2294"/>
      <c r="D1286" s="2294"/>
      <c r="E1286" s="1461"/>
      <c r="R1286" s="1462"/>
      <c r="S1286" s="1462"/>
      <c r="T1286" s="1462"/>
      <c r="U1286" s="1462"/>
      <c r="V1286" s="1462"/>
      <c r="W1286" s="1462"/>
      <c r="X1286" s="1462"/>
      <c r="Y1286" s="1462"/>
    </row>
    <row r="1287" spans="1:25" x14ac:dyDescent="0.3">
      <c r="A1287" s="2294"/>
      <c r="B1287" s="2294"/>
      <c r="C1287" s="2294"/>
      <c r="D1287" s="2294"/>
      <c r="E1287" s="1461"/>
      <c r="R1287" s="1462"/>
      <c r="S1287" s="1462"/>
      <c r="T1287" s="1462"/>
      <c r="U1287" s="1462"/>
      <c r="V1287" s="1462"/>
      <c r="W1287" s="1462"/>
      <c r="X1287" s="1462"/>
      <c r="Y1287" s="1462"/>
    </row>
    <row r="1288" spans="1:25" x14ac:dyDescent="0.3">
      <c r="A1288" s="2294"/>
      <c r="B1288" s="2294"/>
      <c r="C1288" s="2294"/>
      <c r="D1288" s="2294"/>
      <c r="E1288" s="1461"/>
      <c r="R1288" s="1462"/>
      <c r="S1288" s="1462"/>
      <c r="T1288" s="1462"/>
      <c r="U1288" s="1462"/>
      <c r="V1288" s="1462"/>
      <c r="W1288" s="1462"/>
      <c r="X1288" s="1462"/>
      <c r="Y1288" s="1462"/>
    </row>
    <row r="1289" spans="1:25" x14ac:dyDescent="0.3">
      <c r="A1289" s="2294"/>
      <c r="B1289" s="2294"/>
      <c r="C1289" s="2294"/>
      <c r="D1289" s="2294"/>
      <c r="E1289" s="1461"/>
      <c r="R1289" s="1462"/>
      <c r="S1289" s="1462"/>
      <c r="T1289" s="1462"/>
      <c r="U1289" s="1462"/>
      <c r="V1289" s="1462"/>
      <c r="W1289" s="1462"/>
      <c r="X1289" s="1462"/>
      <c r="Y1289" s="1462"/>
    </row>
    <row r="1290" spans="1:25" x14ac:dyDescent="0.3">
      <c r="A1290" s="2294"/>
      <c r="B1290" s="2294"/>
      <c r="C1290" s="2294"/>
      <c r="D1290" s="2294"/>
      <c r="E1290" s="1461"/>
      <c r="R1290" s="1462"/>
      <c r="S1290" s="1462"/>
      <c r="T1290" s="1462"/>
      <c r="U1290" s="1462"/>
      <c r="V1290" s="1462"/>
      <c r="W1290" s="1462"/>
      <c r="X1290" s="1462"/>
      <c r="Y1290" s="1462"/>
    </row>
    <row r="1291" spans="1:25" x14ac:dyDescent="0.3">
      <c r="A1291" s="2294"/>
      <c r="B1291" s="2294"/>
      <c r="C1291" s="2294"/>
      <c r="D1291" s="2294"/>
      <c r="E1291" s="1461"/>
      <c r="R1291" s="1462"/>
      <c r="S1291" s="1462"/>
      <c r="T1291" s="1462"/>
      <c r="U1291" s="1462"/>
      <c r="V1291" s="1462"/>
      <c r="W1291" s="1462"/>
      <c r="X1291" s="1462"/>
      <c r="Y1291" s="1462"/>
    </row>
    <row r="1292" spans="1:25" x14ac:dyDescent="0.3">
      <c r="A1292" s="2294"/>
      <c r="B1292" s="2294"/>
      <c r="C1292" s="2294"/>
      <c r="D1292" s="2294"/>
      <c r="E1292" s="1461"/>
      <c r="R1292" s="1462"/>
      <c r="S1292" s="1462"/>
      <c r="T1292" s="1462"/>
      <c r="U1292" s="1462"/>
      <c r="V1292" s="1462"/>
      <c r="W1292" s="1462"/>
      <c r="X1292" s="1462"/>
      <c r="Y1292" s="1462"/>
    </row>
    <row r="1293" spans="1:25" x14ac:dyDescent="0.3">
      <c r="A1293" s="2294"/>
      <c r="B1293" s="2294"/>
      <c r="C1293" s="2294"/>
      <c r="D1293" s="2294"/>
      <c r="E1293" s="1461"/>
      <c r="R1293" s="1462"/>
      <c r="S1293" s="1462"/>
      <c r="T1293" s="1462"/>
      <c r="U1293" s="1462"/>
      <c r="V1293" s="1462"/>
      <c r="W1293" s="1462"/>
      <c r="X1293" s="1462"/>
      <c r="Y1293" s="1462"/>
    </row>
    <row r="1294" spans="1:25" x14ac:dyDescent="0.3">
      <c r="A1294" s="2294"/>
      <c r="B1294" s="2294"/>
      <c r="C1294" s="2294"/>
      <c r="D1294" s="2294"/>
      <c r="E1294" s="1461"/>
      <c r="R1294" s="1462"/>
      <c r="S1294" s="1462"/>
      <c r="T1294" s="1462"/>
      <c r="U1294" s="1462"/>
      <c r="V1294" s="1462"/>
      <c r="W1294" s="1462"/>
      <c r="X1294" s="1462"/>
      <c r="Y1294" s="1462"/>
    </row>
    <row r="1295" spans="1:25" x14ac:dyDescent="0.3">
      <c r="A1295" s="2294"/>
      <c r="B1295" s="2294"/>
      <c r="C1295" s="2294"/>
      <c r="D1295" s="2294"/>
      <c r="E1295" s="1461"/>
      <c r="R1295" s="1462"/>
      <c r="S1295" s="1462"/>
      <c r="T1295" s="1462"/>
      <c r="U1295" s="1462"/>
      <c r="V1295" s="1462"/>
      <c r="W1295" s="1462"/>
      <c r="X1295" s="1462"/>
      <c r="Y1295" s="1462"/>
    </row>
    <row r="1296" spans="1:25" x14ac:dyDescent="0.3">
      <c r="A1296" s="2294"/>
      <c r="B1296" s="2294"/>
      <c r="C1296" s="2294"/>
      <c r="D1296" s="2294"/>
      <c r="E1296" s="1461"/>
      <c r="R1296" s="1462"/>
      <c r="S1296" s="1462"/>
      <c r="T1296" s="1462"/>
      <c r="U1296" s="1462"/>
      <c r="V1296" s="1462"/>
      <c r="W1296" s="1462"/>
      <c r="X1296" s="1462"/>
      <c r="Y1296" s="1462"/>
    </row>
    <row r="1297" spans="1:25" x14ac:dyDescent="0.3">
      <c r="A1297" s="2294"/>
      <c r="B1297" s="2294"/>
      <c r="C1297" s="2294"/>
      <c r="D1297" s="2294"/>
      <c r="E1297" s="1461"/>
      <c r="R1297" s="1462"/>
      <c r="S1297" s="1462"/>
      <c r="T1297" s="1462"/>
      <c r="U1297" s="1462"/>
      <c r="V1297" s="1462"/>
      <c r="W1297" s="1462"/>
      <c r="X1297" s="1462"/>
      <c r="Y1297" s="1462"/>
    </row>
    <row r="1298" spans="1:25" x14ac:dyDescent="0.3">
      <c r="A1298" s="2294"/>
      <c r="B1298" s="2294"/>
      <c r="C1298" s="2294"/>
      <c r="D1298" s="2294"/>
      <c r="E1298" s="1461"/>
      <c r="R1298" s="1462"/>
      <c r="S1298" s="1462"/>
      <c r="T1298" s="1462"/>
      <c r="U1298" s="1462"/>
      <c r="V1298" s="1462"/>
      <c r="W1298" s="1462"/>
      <c r="X1298" s="1462"/>
      <c r="Y1298" s="1462"/>
    </row>
    <row r="1299" spans="1:25" x14ac:dyDescent="0.3">
      <c r="A1299" s="2294"/>
      <c r="B1299" s="2294"/>
      <c r="C1299" s="2294"/>
      <c r="D1299" s="2294"/>
      <c r="E1299" s="1461"/>
      <c r="R1299" s="1462"/>
      <c r="S1299" s="1462"/>
      <c r="T1299" s="1462"/>
      <c r="U1299" s="1462"/>
      <c r="V1299" s="1462"/>
      <c r="W1299" s="1462"/>
      <c r="X1299" s="1462"/>
      <c r="Y1299" s="1462"/>
    </row>
    <row r="1300" spans="1:25" x14ac:dyDescent="0.3">
      <c r="A1300" s="2294"/>
      <c r="B1300" s="2294"/>
      <c r="C1300" s="2294"/>
      <c r="D1300" s="2294"/>
      <c r="E1300" s="1461"/>
      <c r="R1300" s="1462"/>
      <c r="S1300" s="1462"/>
      <c r="T1300" s="1462"/>
      <c r="U1300" s="1462"/>
      <c r="V1300" s="1462"/>
      <c r="W1300" s="1462"/>
      <c r="X1300" s="1462"/>
      <c r="Y1300" s="1462"/>
    </row>
    <row r="1301" spans="1:25" x14ac:dyDescent="0.3">
      <c r="A1301" s="2294"/>
      <c r="B1301" s="2294"/>
      <c r="C1301" s="2294"/>
      <c r="D1301" s="2294"/>
      <c r="E1301" s="1461"/>
      <c r="R1301" s="1462"/>
      <c r="S1301" s="1462"/>
      <c r="T1301" s="1462"/>
      <c r="U1301" s="1462"/>
      <c r="V1301" s="1462"/>
      <c r="W1301" s="1462"/>
      <c r="X1301" s="1462"/>
      <c r="Y1301" s="1462"/>
    </row>
    <row r="1302" spans="1:25" x14ac:dyDescent="0.3">
      <c r="A1302" s="2294"/>
      <c r="B1302" s="2294"/>
      <c r="C1302" s="2294"/>
      <c r="D1302" s="2294"/>
      <c r="E1302" s="1461"/>
      <c r="R1302" s="1462"/>
      <c r="S1302" s="1462"/>
      <c r="T1302" s="1462"/>
      <c r="U1302" s="1462"/>
      <c r="V1302" s="1462"/>
      <c r="W1302" s="1462"/>
      <c r="X1302" s="1462"/>
      <c r="Y1302" s="1462"/>
    </row>
    <row r="1303" spans="1:25" x14ac:dyDescent="0.3">
      <c r="A1303" s="2294"/>
      <c r="B1303" s="2294"/>
      <c r="C1303" s="2294"/>
      <c r="D1303" s="2294"/>
      <c r="E1303" s="1461"/>
      <c r="R1303" s="1462"/>
      <c r="S1303" s="1462"/>
      <c r="T1303" s="1462"/>
      <c r="U1303" s="1462"/>
      <c r="V1303" s="1462"/>
      <c r="W1303" s="1462"/>
      <c r="X1303" s="1462"/>
      <c r="Y1303" s="1462"/>
    </row>
    <row r="1304" spans="1:25" x14ac:dyDescent="0.3">
      <c r="A1304" s="2294"/>
      <c r="B1304" s="2294"/>
      <c r="C1304" s="2294"/>
      <c r="D1304" s="2294"/>
      <c r="E1304" s="1461"/>
      <c r="R1304" s="1462"/>
      <c r="S1304" s="1462"/>
      <c r="T1304" s="1462"/>
      <c r="U1304" s="1462"/>
      <c r="V1304" s="1462"/>
      <c r="W1304" s="1462"/>
      <c r="X1304" s="1462"/>
      <c r="Y1304" s="1462"/>
    </row>
    <row r="1305" spans="1:25" x14ac:dyDescent="0.3">
      <c r="A1305" s="2294"/>
      <c r="B1305" s="2294"/>
      <c r="C1305" s="2294"/>
      <c r="D1305" s="2294"/>
      <c r="E1305" s="1461"/>
      <c r="R1305" s="1462"/>
      <c r="S1305" s="1462"/>
      <c r="T1305" s="1462"/>
      <c r="U1305" s="1462"/>
      <c r="V1305" s="1462"/>
      <c r="W1305" s="1462"/>
      <c r="X1305" s="1462"/>
      <c r="Y1305" s="1462"/>
    </row>
    <row r="1306" spans="1:25" x14ac:dyDescent="0.3">
      <c r="A1306" s="2294"/>
      <c r="B1306" s="2294"/>
      <c r="C1306" s="2294"/>
      <c r="D1306" s="2294"/>
      <c r="E1306" s="1461"/>
      <c r="R1306" s="1462"/>
      <c r="S1306" s="1462"/>
      <c r="T1306" s="1462"/>
      <c r="U1306" s="1462"/>
      <c r="V1306" s="1462"/>
      <c r="W1306" s="1462"/>
      <c r="X1306" s="1462"/>
      <c r="Y1306" s="1462"/>
    </row>
    <row r="1307" spans="1:25" x14ac:dyDescent="0.3">
      <c r="A1307" s="2294"/>
      <c r="B1307" s="2294"/>
      <c r="C1307" s="2294"/>
      <c r="D1307" s="2294"/>
      <c r="E1307" s="1461"/>
      <c r="R1307" s="1462"/>
      <c r="S1307" s="1462"/>
      <c r="T1307" s="1462"/>
      <c r="U1307" s="1462"/>
      <c r="V1307" s="1462"/>
      <c r="W1307" s="1462"/>
      <c r="X1307" s="1462"/>
      <c r="Y1307" s="1462"/>
    </row>
    <row r="1308" spans="1:25" x14ac:dyDescent="0.3">
      <c r="A1308" s="2294"/>
      <c r="B1308" s="2294"/>
      <c r="C1308" s="2294"/>
      <c r="D1308" s="2294"/>
      <c r="E1308" s="1461"/>
      <c r="R1308" s="1462"/>
      <c r="S1308" s="1462"/>
      <c r="T1308" s="1462"/>
      <c r="U1308" s="1462"/>
      <c r="V1308" s="1462"/>
      <c r="W1308" s="1462"/>
      <c r="X1308" s="1462"/>
      <c r="Y1308" s="1462"/>
    </row>
    <row r="1309" spans="1:25" x14ac:dyDescent="0.3">
      <c r="A1309" s="2294"/>
      <c r="B1309" s="2294"/>
      <c r="C1309" s="2294"/>
      <c r="D1309" s="2294"/>
      <c r="E1309" s="1461"/>
      <c r="R1309" s="1462"/>
      <c r="S1309" s="1462"/>
      <c r="T1309" s="1462"/>
      <c r="U1309" s="1462"/>
      <c r="V1309" s="1462"/>
      <c r="W1309" s="1462"/>
      <c r="X1309" s="1462"/>
      <c r="Y1309" s="1462"/>
    </row>
    <row r="1310" spans="1:25" x14ac:dyDescent="0.3">
      <c r="A1310" s="2294"/>
      <c r="B1310" s="2294"/>
      <c r="C1310" s="2294"/>
      <c r="D1310" s="2294"/>
      <c r="E1310" s="1461"/>
      <c r="R1310" s="1462"/>
      <c r="S1310" s="1462"/>
      <c r="T1310" s="1462"/>
      <c r="U1310" s="1462"/>
      <c r="V1310" s="1462"/>
      <c r="W1310" s="1462"/>
      <c r="X1310" s="1462"/>
      <c r="Y1310" s="1462"/>
    </row>
    <row r="1311" spans="1:25" x14ac:dyDescent="0.3">
      <c r="A1311" s="2294"/>
      <c r="B1311" s="2294"/>
      <c r="C1311" s="2294"/>
      <c r="D1311" s="2294"/>
      <c r="E1311" s="1461"/>
      <c r="R1311" s="1462"/>
      <c r="S1311" s="1462"/>
      <c r="T1311" s="1462"/>
      <c r="U1311" s="1462"/>
      <c r="V1311" s="1462"/>
      <c r="W1311" s="1462"/>
      <c r="X1311" s="1462"/>
      <c r="Y1311" s="1462"/>
    </row>
    <row r="1312" spans="1:25" x14ac:dyDescent="0.3">
      <c r="A1312" s="2294"/>
      <c r="B1312" s="2294"/>
      <c r="C1312" s="2294"/>
      <c r="D1312" s="2294"/>
      <c r="E1312" s="1461"/>
      <c r="R1312" s="1462"/>
      <c r="S1312" s="1462"/>
      <c r="T1312" s="1462"/>
      <c r="U1312" s="1462"/>
      <c r="V1312" s="1462"/>
      <c r="W1312" s="1462"/>
      <c r="X1312" s="1462"/>
      <c r="Y1312" s="1462"/>
    </row>
    <row r="1313" spans="1:25" x14ac:dyDescent="0.3">
      <c r="A1313" s="2294"/>
      <c r="B1313" s="2294"/>
      <c r="C1313" s="2294"/>
      <c r="D1313" s="2294"/>
      <c r="E1313" s="1461"/>
      <c r="R1313" s="1462"/>
      <c r="S1313" s="1462"/>
      <c r="T1313" s="1462"/>
      <c r="U1313" s="1462"/>
      <c r="V1313" s="1462"/>
      <c r="W1313" s="1462"/>
      <c r="X1313" s="1462"/>
      <c r="Y1313" s="1462"/>
    </row>
    <row r="1314" spans="1:25" x14ac:dyDescent="0.3">
      <c r="A1314" s="2294"/>
      <c r="B1314" s="2294"/>
      <c r="C1314" s="2294"/>
      <c r="D1314" s="2294"/>
      <c r="E1314" s="1461"/>
      <c r="R1314" s="1462"/>
      <c r="S1314" s="1462"/>
      <c r="T1314" s="1462"/>
      <c r="U1314" s="1462"/>
      <c r="V1314" s="1462"/>
      <c r="W1314" s="1462"/>
      <c r="X1314" s="1462"/>
      <c r="Y1314" s="1462"/>
    </row>
    <row r="1315" spans="1:25" x14ac:dyDescent="0.3">
      <c r="A1315" s="2294"/>
      <c r="B1315" s="2294"/>
      <c r="C1315" s="2294"/>
      <c r="D1315" s="2294"/>
      <c r="E1315" s="1461"/>
      <c r="R1315" s="1462"/>
      <c r="S1315" s="1462"/>
      <c r="T1315" s="1462"/>
      <c r="U1315" s="1462"/>
      <c r="V1315" s="1462"/>
      <c r="W1315" s="1462"/>
      <c r="X1315" s="1462"/>
      <c r="Y1315" s="1462"/>
    </row>
    <row r="1316" spans="1:25" x14ac:dyDescent="0.3">
      <c r="A1316" s="2294"/>
      <c r="B1316" s="2294"/>
      <c r="C1316" s="2294"/>
      <c r="D1316" s="2294"/>
      <c r="E1316" s="1461"/>
      <c r="R1316" s="1462"/>
      <c r="S1316" s="1462"/>
      <c r="T1316" s="1462"/>
      <c r="U1316" s="1462"/>
      <c r="V1316" s="1462"/>
      <c r="W1316" s="1462"/>
      <c r="X1316" s="1462"/>
      <c r="Y1316" s="1462"/>
    </row>
    <row r="1317" spans="1:25" x14ac:dyDescent="0.3">
      <c r="A1317" s="2294"/>
      <c r="B1317" s="2294"/>
      <c r="C1317" s="2294"/>
      <c r="D1317" s="2294"/>
      <c r="E1317" s="1461"/>
      <c r="R1317" s="1462"/>
      <c r="S1317" s="1462"/>
      <c r="T1317" s="1462"/>
      <c r="U1317" s="1462"/>
      <c r="V1317" s="1462"/>
      <c r="W1317" s="1462"/>
      <c r="X1317" s="1462"/>
      <c r="Y1317" s="1462"/>
    </row>
    <row r="1318" spans="1:25" x14ac:dyDescent="0.3">
      <c r="A1318" s="2294"/>
      <c r="B1318" s="2294"/>
      <c r="C1318" s="2294"/>
      <c r="D1318" s="2294"/>
      <c r="E1318" s="1461"/>
      <c r="R1318" s="1462"/>
      <c r="S1318" s="1462"/>
      <c r="T1318" s="1462"/>
      <c r="U1318" s="1462"/>
      <c r="V1318" s="1462"/>
      <c r="W1318" s="1462"/>
      <c r="X1318" s="1462"/>
      <c r="Y1318" s="1462"/>
    </row>
    <row r="1319" spans="1:25" x14ac:dyDescent="0.3">
      <c r="A1319" s="2294"/>
      <c r="B1319" s="2294"/>
      <c r="C1319" s="2294"/>
      <c r="D1319" s="2294"/>
      <c r="E1319" s="1461"/>
      <c r="R1319" s="1462"/>
      <c r="S1319" s="1462"/>
      <c r="T1319" s="1462"/>
      <c r="U1319" s="1462"/>
      <c r="V1319" s="1462"/>
      <c r="W1319" s="1462"/>
      <c r="X1319" s="1462"/>
      <c r="Y1319" s="1462"/>
    </row>
    <row r="1320" spans="1:25" x14ac:dyDescent="0.3">
      <c r="A1320" s="2294"/>
      <c r="B1320" s="2294"/>
      <c r="C1320" s="2294"/>
      <c r="D1320" s="2294"/>
      <c r="E1320" s="1461"/>
      <c r="R1320" s="1462"/>
      <c r="S1320" s="1462"/>
      <c r="T1320" s="1462"/>
      <c r="U1320" s="1462"/>
      <c r="V1320" s="1462"/>
      <c r="W1320" s="1462"/>
      <c r="X1320" s="1462"/>
      <c r="Y1320" s="1462"/>
    </row>
    <row r="1321" spans="1:25" x14ac:dyDescent="0.3">
      <c r="A1321" s="2294"/>
      <c r="B1321" s="2294"/>
      <c r="C1321" s="2294"/>
      <c r="D1321" s="2294"/>
      <c r="E1321" s="1461"/>
      <c r="R1321" s="1462"/>
      <c r="S1321" s="1462"/>
      <c r="T1321" s="1462"/>
      <c r="U1321" s="1462"/>
      <c r="V1321" s="1462"/>
      <c r="W1321" s="1462"/>
      <c r="X1321" s="1462"/>
      <c r="Y1321" s="1462"/>
    </row>
    <row r="1322" spans="1:25" x14ac:dyDescent="0.3">
      <c r="A1322" s="2294"/>
      <c r="B1322" s="2294"/>
      <c r="C1322" s="2294"/>
      <c r="D1322" s="2294"/>
      <c r="E1322" s="1461"/>
      <c r="R1322" s="1462"/>
      <c r="S1322" s="1462"/>
      <c r="T1322" s="1462"/>
      <c r="U1322" s="1462"/>
      <c r="V1322" s="1462"/>
      <c r="W1322" s="1462"/>
      <c r="X1322" s="1462"/>
      <c r="Y1322" s="1462"/>
    </row>
    <row r="1323" spans="1:25" x14ac:dyDescent="0.3">
      <c r="A1323" s="2294"/>
      <c r="B1323" s="2294"/>
      <c r="C1323" s="2294"/>
      <c r="D1323" s="2294"/>
      <c r="E1323" s="1461"/>
      <c r="R1323" s="1462"/>
      <c r="S1323" s="1462"/>
      <c r="T1323" s="1462"/>
      <c r="U1323" s="1462"/>
      <c r="V1323" s="1462"/>
      <c r="W1323" s="1462"/>
      <c r="X1323" s="1462"/>
      <c r="Y1323" s="1462"/>
    </row>
    <row r="1324" spans="1:25" x14ac:dyDescent="0.3">
      <c r="A1324" s="2294"/>
      <c r="B1324" s="2294"/>
      <c r="C1324" s="2294"/>
      <c r="D1324" s="2294"/>
      <c r="E1324" s="1461"/>
      <c r="R1324" s="1462"/>
      <c r="S1324" s="1462"/>
      <c r="T1324" s="1462"/>
      <c r="U1324" s="1462"/>
      <c r="V1324" s="1462"/>
      <c r="W1324" s="1462"/>
      <c r="X1324" s="1462"/>
      <c r="Y1324" s="1462"/>
    </row>
    <row r="1325" spans="1:25" x14ac:dyDescent="0.3">
      <c r="A1325" s="2294"/>
      <c r="B1325" s="2294"/>
      <c r="C1325" s="2294"/>
      <c r="D1325" s="2294"/>
      <c r="E1325" s="1461"/>
      <c r="R1325" s="1462"/>
      <c r="S1325" s="1462"/>
      <c r="T1325" s="1462"/>
      <c r="U1325" s="1462"/>
      <c r="V1325" s="1462"/>
      <c r="W1325" s="1462"/>
      <c r="X1325" s="1462"/>
      <c r="Y1325" s="1462"/>
    </row>
    <row r="1326" spans="1:25" x14ac:dyDescent="0.3">
      <c r="A1326" s="2294"/>
      <c r="B1326" s="2294"/>
      <c r="C1326" s="2294"/>
      <c r="D1326" s="2294"/>
      <c r="E1326" s="1461"/>
      <c r="R1326" s="1462"/>
      <c r="S1326" s="1462"/>
      <c r="T1326" s="1462"/>
      <c r="U1326" s="1462"/>
      <c r="V1326" s="1462"/>
      <c r="W1326" s="1462"/>
      <c r="X1326" s="1462"/>
      <c r="Y1326" s="1462"/>
    </row>
    <row r="1327" spans="1:25" x14ac:dyDescent="0.3">
      <c r="A1327" s="2294"/>
      <c r="B1327" s="2294"/>
      <c r="C1327" s="2294"/>
      <c r="D1327" s="2294"/>
      <c r="E1327" s="1461"/>
      <c r="R1327" s="1462"/>
      <c r="S1327" s="1462"/>
      <c r="T1327" s="1462"/>
      <c r="U1327" s="1462"/>
      <c r="V1327" s="1462"/>
      <c r="W1327" s="1462"/>
      <c r="X1327" s="1462"/>
      <c r="Y1327" s="1462"/>
    </row>
    <row r="1328" spans="1:25" x14ac:dyDescent="0.3">
      <c r="A1328" s="2294"/>
      <c r="B1328" s="2294"/>
      <c r="C1328" s="2294"/>
      <c r="D1328" s="2294"/>
      <c r="E1328" s="1461"/>
      <c r="R1328" s="1462"/>
      <c r="S1328" s="1462"/>
      <c r="T1328" s="1462"/>
      <c r="U1328" s="1462"/>
      <c r="V1328" s="1462"/>
      <c r="W1328" s="1462"/>
      <c r="X1328" s="1462"/>
      <c r="Y1328" s="1462"/>
    </row>
    <row r="1329" spans="1:25" x14ac:dyDescent="0.3">
      <c r="A1329" s="2294"/>
      <c r="B1329" s="2294"/>
      <c r="C1329" s="2294"/>
      <c r="D1329" s="2294"/>
      <c r="E1329" s="1461"/>
      <c r="R1329" s="1462"/>
      <c r="S1329" s="1462"/>
      <c r="T1329" s="1462"/>
      <c r="U1329" s="1462"/>
      <c r="V1329" s="1462"/>
      <c r="W1329" s="1462"/>
      <c r="X1329" s="1462"/>
      <c r="Y1329" s="1462"/>
    </row>
    <row r="1330" spans="1:25" x14ac:dyDescent="0.3">
      <c r="A1330" s="2294"/>
      <c r="B1330" s="2294"/>
      <c r="C1330" s="2294"/>
      <c r="D1330" s="2294"/>
      <c r="E1330" s="1461"/>
      <c r="R1330" s="1462"/>
      <c r="S1330" s="1462"/>
      <c r="T1330" s="1462"/>
      <c r="U1330" s="1462"/>
      <c r="V1330" s="1462"/>
      <c r="W1330" s="1462"/>
      <c r="X1330" s="1462"/>
      <c r="Y1330" s="1462"/>
    </row>
    <row r="1331" spans="1:25" x14ac:dyDescent="0.3">
      <c r="A1331" s="2294"/>
      <c r="B1331" s="2294"/>
      <c r="C1331" s="2294"/>
      <c r="D1331" s="2294"/>
      <c r="E1331" s="1461"/>
      <c r="R1331" s="1462"/>
      <c r="S1331" s="1462"/>
      <c r="T1331" s="1462"/>
      <c r="U1331" s="1462"/>
      <c r="V1331" s="1462"/>
      <c r="W1331" s="1462"/>
      <c r="X1331" s="1462"/>
      <c r="Y1331" s="1462"/>
    </row>
    <row r="1332" spans="1:25" x14ac:dyDescent="0.3">
      <c r="A1332" s="2294"/>
      <c r="B1332" s="2294"/>
      <c r="C1332" s="2294"/>
      <c r="D1332" s="2294"/>
      <c r="E1332" s="1461"/>
      <c r="R1332" s="1462"/>
      <c r="S1332" s="1462"/>
      <c r="T1332" s="1462"/>
      <c r="U1332" s="1462"/>
      <c r="V1332" s="1462"/>
      <c r="W1332" s="1462"/>
      <c r="X1332" s="1462"/>
      <c r="Y1332" s="1462"/>
    </row>
    <row r="1333" spans="1:25" x14ac:dyDescent="0.3">
      <c r="A1333" s="2294"/>
      <c r="B1333" s="2294"/>
      <c r="C1333" s="2294"/>
      <c r="D1333" s="2294"/>
      <c r="E1333" s="1461"/>
      <c r="R1333" s="1462"/>
      <c r="S1333" s="1462"/>
      <c r="T1333" s="1462"/>
      <c r="U1333" s="1462"/>
      <c r="V1333" s="1462"/>
      <c r="W1333" s="1462"/>
      <c r="X1333" s="1462"/>
      <c r="Y1333" s="1462"/>
    </row>
    <row r="1334" spans="1:25" x14ac:dyDescent="0.3">
      <c r="A1334" s="2294"/>
      <c r="B1334" s="2294"/>
      <c r="C1334" s="2294"/>
      <c r="D1334" s="2294"/>
      <c r="E1334" s="1461"/>
      <c r="R1334" s="1462"/>
      <c r="S1334" s="1462"/>
      <c r="T1334" s="1462"/>
      <c r="U1334" s="1462"/>
      <c r="V1334" s="1462"/>
      <c r="W1334" s="1462"/>
      <c r="X1334" s="1462"/>
      <c r="Y1334" s="1462"/>
    </row>
    <row r="1335" spans="1:25" x14ac:dyDescent="0.3">
      <c r="A1335" s="2294"/>
      <c r="B1335" s="2294"/>
      <c r="C1335" s="2294"/>
      <c r="D1335" s="2294"/>
      <c r="E1335" s="1461"/>
      <c r="R1335" s="1462"/>
      <c r="S1335" s="1462"/>
      <c r="T1335" s="1462"/>
      <c r="U1335" s="1462"/>
      <c r="V1335" s="1462"/>
      <c r="W1335" s="1462"/>
      <c r="X1335" s="1462"/>
      <c r="Y1335" s="1462"/>
    </row>
    <row r="1336" spans="1:25" x14ac:dyDescent="0.3">
      <c r="A1336" s="2294"/>
      <c r="B1336" s="2294"/>
      <c r="C1336" s="2294"/>
      <c r="D1336" s="2294"/>
      <c r="E1336" s="1461"/>
      <c r="R1336" s="1462"/>
      <c r="S1336" s="1462"/>
      <c r="T1336" s="1462"/>
      <c r="U1336" s="1462"/>
      <c r="V1336" s="1462"/>
      <c r="W1336" s="1462"/>
      <c r="X1336" s="1462"/>
      <c r="Y1336" s="1462"/>
    </row>
    <row r="1337" spans="1:25" x14ac:dyDescent="0.3">
      <c r="A1337" s="2294"/>
      <c r="B1337" s="2294"/>
      <c r="C1337" s="2294"/>
      <c r="D1337" s="2294"/>
      <c r="E1337" s="1461"/>
      <c r="R1337" s="1462"/>
      <c r="S1337" s="1462"/>
      <c r="T1337" s="1462"/>
      <c r="U1337" s="1462"/>
      <c r="V1337" s="1462"/>
      <c r="W1337" s="1462"/>
      <c r="X1337" s="1462"/>
      <c r="Y1337" s="1462"/>
    </row>
    <row r="1338" spans="1:25" x14ac:dyDescent="0.3">
      <c r="A1338" s="2294"/>
      <c r="B1338" s="2294"/>
      <c r="C1338" s="2294"/>
      <c r="D1338" s="2294"/>
      <c r="E1338" s="1461"/>
      <c r="R1338" s="1462"/>
      <c r="S1338" s="1462"/>
      <c r="T1338" s="1462"/>
      <c r="U1338" s="1462"/>
      <c r="V1338" s="1462"/>
      <c r="W1338" s="1462"/>
      <c r="X1338" s="1462"/>
      <c r="Y1338" s="1462"/>
    </row>
    <row r="1339" spans="1:25" x14ac:dyDescent="0.3">
      <c r="A1339" s="2294"/>
      <c r="B1339" s="2294"/>
      <c r="C1339" s="2294"/>
      <c r="D1339" s="2294"/>
      <c r="E1339" s="1461"/>
      <c r="R1339" s="1462"/>
      <c r="S1339" s="1462"/>
      <c r="T1339" s="1462"/>
      <c r="U1339" s="1462"/>
      <c r="V1339" s="1462"/>
      <c r="W1339" s="1462"/>
      <c r="X1339" s="1462"/>
      <c r="Y1339" s="1462"/>
    </row>
    <row r="1340" spans="1:25" x14ac:dyDescent="0.3">
      <c r="A1340" s="2294"/>
      <c r="B1340" s="2294"/>
      <c r="C1340" s="2294"/>
      <c r="D1340" s="2294"/>
      <c r="E1340" s="1461"/>
      <c r="R1340" s="1462"/>
      <c r="S1340" s="1462"/>
      <c r="T1340" s="1462"/>
      <c r="U1340" s="1462"/>
      <c r="V1340" s="1462"/>
      <c r="W1340" s="1462"/>
      <c r="X1340" s="1462"/>
      <c r="Y1340" s="1462"/>
    </row>
    <row r="1341" spans="1:25" x14ac:dyDescent="0.3">
      <c r="A1341" s="2294"/>
      <c r="B1341" s="2294"/>
      <c r="C1341" s="2294"/>
      <c r="D1341" s="2294"/>
      <c r="E1341" s="1461"/>
      <c r="R1341" s="1462"/>
      <c r="S1341" s="1462"/>
      <c r="T1341" s="1462"/>
      <c r="U1341" s="1462"/>
      <c r="V1341" s="1462"/>
      <c r="W1341" s="1462"/>
      <c r="X1341" s="1462"/>
      <c r="Y1341" s="1462"/>
    </row>
    <row r="1342" spans="1:25" x14ac:dyDescent="0.3">
      <c r="A1342" s="2294"/>
      <c r="B1342" s="2294"/>
      <c r="C1342" s="2294"/>
      <c r="D1342" s="2294"/>
      <c r="E1342" s="1461"/>
      <c r="R1342" s="1462"/>
      <c r="S1342" s="1462"/>
      <c r="T1342" s="1462"/>
      <c r="U1342" s="1462"/>
      <c r="V1342" s="1462"/>
      <c r="W1342" s="1462"/>
      <c r="X1342" s="1462"/>
      <c r="Y1342" s="1462"/>
    </row>
    <row r="1343" spans="1:25" x14ac:dyDescent="0.3">
      <c r="A1343" s="2294"/>
      <c r="B1343" s="2294"/>
      <c r="C1343" s="2294"/>
      <c r="D1343" s="2294"/>
      <c r="E1343" s="1461"/>
      <c r="R1343" s="1462"/>
      <c r="S1343" s="1462"/>
      <c r="T1343" s="1462"/>
      <c r="U1343" s="1462"/>
      <c r="V1343" s="1462"/>
      <c r="W1343" s="1462"/>
      <c r="X1343" s="1462"/>
      <c r="Y1343" s="1462"/>
    </row>
    <row r="1344" spans="1:25" x14ac:dyDescent="0.3">
      <c r="A1344" s="2294"/>
      <c r="B1344" s="2294"/>
      <c r="C1344" s="2294"/>
      <c r="D1344" s="2294"/>
      <c r="E1344" s="1461"/>
      <c r="R1344" s="1462"/>
      <c r="S1344" s="1462"/>
      <c r="T1344" s="1462"/>
      <c r="U1344" s="1462"/>
      <c r="V1344" s="1462"/>
      <c r="W1344" s="1462"/>
      <c r="X1344" s="1462"/>
      <c r="Y1344" s="1462"/>
    </row>
    <row r="1345" spans="1:25" x14ac:dyDescent="0.3">
      <c r="A1345" s="2294"/>
      <c r="B1345" s="2294"/>
      <c r="C1345" s="2294"/>
      <c r="D1345" s="2294"/>
      <c r="E1345" s="1461"/>
      <c r="R1345" s="1462"/>
      <c r="S1345" s="1462"/>
      <c r="T1345" s="1462"/>
      <c r="U1345" s="1462"/>
      <c r="V1345" s="1462"/>
      <c r="W1345" s="1462"/>
      <c r="X1345" s="1462"/>
      <c r="Y1345" s="1462"/>
    </row>
    <row r="1346" spans="1:25" x14ac:dyDescent="0.3">
      <c r="A1346" s="2294"/>
      <c r="B1346" s="2294"/>
      <c r="C1346" s="2294"/>
      <c r="D1346" s="2294"/>
      <c r="E1346" s="1461"/>
      <c r="R1346" s="1462"/>
      <c r="S1346" s="1462"/>
      <c r="T1346" s="1462"/>
      <c r="U1346" s="1462"/>
      <c r="V1346" s="1462"/>
      <c r="W1346" s="1462"/>
      <c r="X1346" s="1462"/>
      <c r="Y1346" s="1462"/>
    </row>
    <row r="1347" spans="1:25" x14ac:dyDescent="0.3">
      <c r="A1347" s="2294"/>
      <c r="B1347" s="2294"/>
      <c r="C1347" s="2294"/>
      <c r="D1347" s="2294"/>
      <c r="E1347" s="1461"/>
      <c r="R1347" s="1462"/>
      <c r="S1347" s="1462"/>
      <c r="T1347" s="1462"/>
      <c r="U1347" s="1462"/>
      <c r="V1347" s="1462"/>
      <c r="W1347" s="1462"/>
      <c r="X1347" s="1462"/>
      <c r="Y1347" s="1462"/>
    </row>
    <row r="1348" spans="1:25" x14ac:dyDescent="0.3">
      <c r="A1348" s="2294"/>
      <c r="B1348" s="2294"/>
      <c r="C1348" s="2294"/>
      <c r="D1348" s="2294"/>
      <c r="E1348" s="1461"/>
      <c r="R1348" s="1462"/>
      <c r="S1348" s="1462"/>
      <c r="T1348" s="1462"/>
      <c r="U1348" s="1462"/>
      <c r="V1348" s="1462"/>
      <c r="W1348" s="1462"/>
      <c r="X1348" s="1462"/>
      <c r="Y1348" s="1462"/>
    </row>
    <row r="1349" spans="1:25" x14ac:dyDescent="0.3">
      <c r="A1349" s="2294"/>
      <c r="B1349" s="2294"/>
      <c r="C1349" s="2294"/>
      <c r="D1349" s="2294"/>
      <c r="E1349" s="1461"/>
      <c r="R1349" s="1462"/>
      <c r="S1349" s="1462"/>
      <c r="T1349" s="1462"/>
      <c r="U1349" s="1462"/>
      <c r="V1349" s="1462"/>
      <c r="W1349" s="1462"/>
      <c r="X1349" s="1462"/>
      <c r="Y1349" s="1462"/>
    </row>
    <row r="1350" spans="1:25" x14ac:dyDescent="0.3">
      <c r="A1350" s="2294"/>
      <c r="B1350" s="2294"/>
      <c r="C1350" s="2294"/>
      <c r="D1350" s="2294"/>
      <c r="E1350" s="1461"/>
      <c r="R1350" s="1462"/>
      <c r="S1350" s="1462"/>
      <c r="T1350" s="1462"/>
      <c r="U1350" s="1462"/>
      <c r="V1350" s="1462"/>
      <c r="W1350" s="1462"/>
      <c r="X1350" s="1462"/>
      <c r="Y1350" s="1462"/>
    </row>
    <row r="1351" spans="1:25" x14ac:dyDescent="0.3">
      <c r="A1351" s="2294"/>
      <c r="B1351" s="2294"/>
      <c r="C1351" s="2294"/>
      <c r="D1351" s="2294"/>
      <c r="E1351" s="1461"/>
      <c r="R1351" s="1462"/>
      <c r="S1351" s="1462"/>
      <c r="T1351" s="1462"/>
      <c r="U1351" s="1462"/>
      <c r="V1351" s="1462"/>
      <c r="W1351" s="1462"/>
      <c r="X1351" s="1462"/>
      <c r="Y1351" s="1462"/>
    </row>
    <row r="1352" spans="1:25" x14ac:dyDescent="0.3">
      <c r="A1352" s="2294"/>
      <c r="B1352" s="2294"/>
      <c r="C1352" s="2294"/>
      <c r="D1352" s="2294"/>
      <c r="E1352" s="1461"/>
      <c r="R1352" s="1462"/>
      <c r="S1352" s="1462"/>
      <c r="T1352" s="1462"/>
      <c r="U1352" s="1462"/>
      <c r="V1352" s="1462"/>
      <c r="W1352" s="1462"/>
      <c r="X1352" s="1462"/>
      <c r="Y1352" s="1462"/>
    </row>
    <row r="1353" spans="1:25" x14ac:dyDescent="0.3">
      <c r="A1353" s="2294"/>
      <c r="B1353" s="2294"/>
      <c r="C1353" s="2294"/>
      <c r="D1353" s="2294"/>
      <c r="E1353" s="1461"/>
      <c r="R1353" s="1462"/>
      <c r="S1353" s="1462"/>
      <c r="T1353" s="1462"/>
      <c r="U1353" s="1462"/>
      <c r="V1353" s="1462"/>
      <c r="W1353" s="1462"/>
      <c r="X1353" s="1462"/>
      <c r="Y1353" s="1462"/>
    </row>
    <row r="1354" spans="1:25" x14ac:dyDescent="0.3">
      <c r="A1354" s="2294"/>
      <c r="B1354" s="2294"/>
      <c r="C1354" s="2294"/>
      <c r="D1354" s="2294"/>
      <c r="E1354" s="1461"/>
      <c r="R1354" s="1462"/>
      <c r="S1354" s="1462"/>
      <c r="T1354" s="1462"/>
      <c r="U1354" s="1462"/>
      <c r="V1354" s="1462"/>
      <c r="W1354" s="1462"/>
      <c r="X1354" s="1462"/>
      <c r="Y1354" s="1462"/>
    </row>
    <row r="1355" spans="1:25" x14ac:dyDescent="0.3">
      <c r="A1355" s="2294"/>
      <c r="B1355" s="2294"/>
      <c r="C1355" s="2294"/>
      <c r="D1355" s="2294"/>
      <c r="E1355" s="1461"/>
      <c r="R1355" s="1462"/>
      <c r="S1355" s="1462"/>
      <c r="T1355" s="1462"/>
      <c r="U1355" s="1462"/>
      <c r="V1355" s="1462"/>
      <c r="W1355" s="1462"/>
      <c r="X1355" s="1462"/>
      <c r="Y1355" s="1462"/>
    </row>
    <row r="1356" spans="1:25" x14ac:dyDescent="0.3">
      <c r="A1356" s="2294"/>
      <c r="B1356" s="2294"/>
      <c r="C1356" s="2294"/>
      <c r="D1356" s="2294"/>
      <c r="E1356" s="1461"/>
      <c r="R1356" s="1462"/>
      <c r="S1356" s="1462"/>
      <c r="T1356" s="1462"/>
      <c r="U1356" s="1462"/>
      <c r="V1356" s="1462"/>
      <c r="W1356" s="1462"/>
      <c r="X1356" s="1462"/>
      <c r="Y1356" s="1462"/>
    </row>
    <row r="1357" spans="1:25" x14ac:dyDescent="0.3">
      <c r="A1357" s="2294"/>
      <c r="B1357" s="2294"/>
      <c r="C1357" s="2294"/>
      <c r="D1357" s="2294"/>
      <c r="E1357" s="1461"/>
      <c r="R1357" s="1462"/>
      <c r="S1357" s="1462"/>
      <c r="T1357" s="1462"/>
      <c r="U1357" s="1462"/>
      <c r="V1357" s="1462"/>
      <c r="W1357" s="1462"/>
      <c r="X1357" s="1462"/>
      <c r="Y1357" s="1462"/>
    </row>
    <row r="1358" spans="1:25" x14ac:dyDescent="0.3">
      <c r="A1358" s="2294"/>
      <c r="B1358" s="2294"/>
      <c r="C1358" s="2294"/>
      <c r="D1358" s="2294"/>
      <c r="E1358" s="1461"/>
      <c r="R1358" s="1462"/>
      <c r="S1358" s="1462"/>
      <c r="T1358" s="1462"/>
      <c r="U1358" s="1462"/>
      <c r="V1358" s="1462"/>
      <c r="W1358" s="1462"/>
      <c r="X1358" s="1462"/>
      <c r="Y1358" s="1462"/>
    </row>
    <row r="1359" spans="1:25" x14ac:dyDescent="0.3">
      <c r="A1359" s="2294"/>
      <c r="B1359" s="2294"/>
      <c r="C1359" s="2294"/>
      <c r="D1359" s="2294"/>
      <c r="E1359" s="1461"/>
      <c r="R1359" s="1462"/>
      <c r="S1359" s="1462"/>
      <c r="T1359" s="1462"/>
      <c r="U1359" s="1462"/>
      <c r="V1359" s="1462"/>
      <c r="W1359" s="1462"/>
      <c r="X1359" s="1462"/>
      <c r="Y1359" s="1462"/>
    </row>
    <row r="1360" spans="1:25" x14ac:dyDescent="0.3">
      <c r="A1360" s="2294"/>
      <c r="B1360" s="2294"/>
      <c r="C1360" s="2294"/>
      <c r="D1360" s="2294"/>
      <c r="E1360" s="1461"/>
      <c r="R1360" s="1462"/>
      <c r="S1360" s="1462"/>
      <c r="T1360" s="1462"/>
      <c r="U1360" s="1462"/>
      <c r="V1360" s="1462"/>
      <c r="W1360" s="1462"/>
      <c r="X1360" s="1462"/>
      <c r="Y1360" s="1462"/>
    </row>
    <row r="1361" spans="1:25" x14ac:dyDescent="0.3">
      <c r="A1361" s="2294"/>
      <c r="B1361" s="2294"/>
      <c r="C1361" s="2294"/>
      <c r="D1361" s="2294"/>
      <c r="E1361" s="1461"/>
      <c r="R1361" s="1462"/>
      <c r="S1361" s="1462"/>
      <c r="T1361" s="1462"/>
      <c r="U1361" s="1462"/>
      <c r="V1361" s="1462"/>
      <c r="W1361" s="1462"/>
      <c r="X1361" s="1462"/>
      <c r="Y1361" s="1462"/>
    </row>
    <row r="1362" spans="1:25" x14ac:dyDescent="0.3">
      <c r="A1362" s="2294"/>
      <c r="B1362" s="2294"/>
      <c r="C1362" s="2294"/>
      <c r="D1362" s="2294"/>
      <c r="E1362" s="1461"/>
      <c r="R1362" s="1462"/>
      <c r="S1362" s="1462"/>
      <c r="T1362" s="1462"/>
      <c r="U1362" s="1462"/>
      <c r="V1362" s="1462"/>
      <c r="W1362" s="1462"/>
      <c r="X1362" s="1462"/>
      <c r="Y1362" s="1462"/>
    </row>
    <row r="1363" spans="1:25" x14ac:dyDescent="0.3">
      <c r="A1363" s="2294"/>
      <c r="B1363" s="2294"/>
      <c r="C1363" s="2294"/>
      <c r="D1363" s="2294"/>
      <c r="E1363" s="1461"/>
      <c r="R1363" s="1462"/>
      <c r="S1363" s="1462"/>
      <c r="T1363" s="1462"/>
      <c r="U1363" s="1462"/>
      <c r="V1363" s="1462"/>
      <c r="W1363" s="1462"/>
      <c r="X1363" s="1462"/>
      <c r="Y1363" s="1462"/>
    </row>
    <row r="1364" spans="1:25" x14ac:dyDescent="0.3">
      <c r="A1364" s="2294"/>
      <c r="B1364" s="2294"/>
      <c r="C1364" s="2294"/>
      <c r="D1364" s="2294"/>
      <c r="E1364" s="1461"/>
      <c r="R1364" s="1462"/>
      <c r="S1364" s="1462"/>
      <c r="T1364" s="1462"/>
      <c r="U1364" s="1462"/>
      <c r="V1364" s="1462"/>
      <c r="W1364" s="1462"/>
      <c r="X1364" s="1462"/>
      <c r="Y1364" s="1462"/>
    </row>
    <row r="1365" spans="1:25" x14ac:dyDescent="0.3">
      <c r="A1365" s="2294"/>
      <c r="B1365" s="2294"/>
      <c r="C1365" s="2294"/>
      <c r="D1365" s="2294"/>
      <c r="E1365" s="1461"/>
      <c r="R1365" s="1462"/>
      <c r="S1365" s="1462"/>
      <c r="T1365" s="1462"/>
      <c r="U1365" s="1462"/>
      <c r="V1365" s="1462"/>
      <c r="W1365" s="1462"/>
      <c r="X1365" s="1462"/>
      <c r="Y1365" s="1462"/>
    </row>
    <row r="1366" spans="1:25" x14ac:dyDescent="0.3">
      <c r="A1366" s="2294"/>
      <c r="B1366" s="2294"/>
      <c r="C1366" s="2294"/>
      <c r="D1366" s="2294"/>
      <c r="E1366" s="1461"/>
      <c r="R1366" s="1462"/>
      <c r="S1366" s="1462"/>
      <c r="T1366" s="1462"/>
      <c r="U1366" s="1462"/>
      <c r="V1366" s="1462"/>
      <c r="W1366" s="1462"/>
      <c r="X1366" s="1462"/>
      <c r="Y1366" s="1462"/>
    </row>
    <row r="1367" spans="1:25" x14ac:dyDescent="0.3">
      <c r="A1367" s="2294"/>
      <c r="B1367" s="2294"/>
      <c r="C1367" s="2294"/>
      <c r="D1367" s="2294"/>
      <c r="E1367" s="1461"/>
      <c r="R1367" s="1462"/>
      <c r="S1367" s="1462"/>
      <c r="T1367" s="1462"/>
      <c r="U1367" s="1462"/>
      <c r="V1367" s="1462"/>
      <c r="W1367" s="1462"/>
      <c r="X1367" s="1462"/>
      <c r="Y1367" s="1462"/>
    </row>
    <row r="1368" spans="1:25" x14ac:dyDescent="0.3">
      <c r="A1368" s="2294"/>
      <c r="B1368" s="2294"/>
      <c r="C1368" s="2294"/>
      <c r="D1368" s="2294"/>
      <c r="E1368" s="1461"/>
      <c r="R1368" s="1462"/>
      <c r="S1368" s="1462"/>
      <c r="T1368" s="1462"/>
      <c r="U1368" s="1462"/>
      <c r="V1368" s="1462"/>
      <c r="W1368" s="1462"/>
      <c r="X1368" s="1462"/>
      <c r="Y1368" s="1462"/>
    </row>
    <row r="1369" spans="1:25" x14ac:dyDescent="0.3">
      <c r="A1369" s="2294"/>
      <c r="B1369" s="2294"/>
      <c r="C1369" s="2294"/>
      <c r="D1369" s="2294"/>
      <c r="E1369" s="1461"/>
      <c r="R1369" s="1462"/>
      <c r="S1369" s="1462"/>
      <c r="T1369" s="1462"/>
      <c r="U1369" s="1462"/>
      <c r="V1369" s="1462"/>
      <c r="W1369" s="1462"/>
      <c r="X1369" s="1462"/>
      <c r="Y1369" s="1462"/>
    </row>
    <row r="1370" spans="1:25" x14ac:dyDescent="0.3">
      <c r="A1370" s="2294"/>
      <c r="B1370" s="2294"/>
      <c r="C1370" s="2294"/>
      <c r="D1370" s="2294"/>
      <c r="E1370" s="1461"/>
      <c r="R1370" s="1462"/>
      <c r="S1370" s="1462"/>
      <c r="T1370" s="1462"/>
      <c r="U1370" s="1462"/>
      <c r="V1370" s="1462"/>
      <c r="W1370" s="1462"/>
      <c r="X1370" s="1462"/>
      <c r="Y1370" s="1462"/>
    </row>
    <row r="1371" spans="1:25" x14ac:dyDescent="0.3">
      <c r="A1371" s="2294"/>
      <c r="B1371" s="2294"/>
      <c r="C1371" s="2294"/>
      <c r="D1371" s="2294"/>
      <c r="E1371" s="1461"/>
      <c r="R1371" s="1462"/>
      <c r="S1371" s="1462"/>
      <c r="T1371" s="1462"/>
      <c r="U1371" s="1462"/>
      <c r="V1371" s="1462"/>
      <c r="W1371" s="1462"/>
      <c r="X1371" s="1462"/>
      <c r="Y1371" s="1462"/>
    </row>
    <row r="1372" spans="1:25" x14ac:dyDescent="0.3">
      <c r="A1372" s="2294"/>
      <c r="B1372" s="2294"/>
      <c r="C1372" s="2294"/>
      <c r="D1372" s="2294"/>
      <c r="E1372" s="1461"/>
      <c r="R1372" s="1462"/>
      <c r="S1372" s="1462"/>
      <c r="T1372" s="1462"/>
      <c r="U1372" s="1462"/>
      <c r="V1372" s="1462"/>
      <c r="W1372" s="1462"/>
      <c r="X1372" s="1462"/>
      <c r="Y1372" s="1462"/>
    </row>
    <row r="1373" spans="1:25" x14ac:dyDescent="0.3">
      <c r="A1373" s="2294"/>
      <c r="B1373" s="2294"/>
      <c r="C1373" s="2294"/>
      <c r="D1373" s="2294"/>
      <c r="E1373" s="1461"/>
      <c r="R1373" s="1462"/>
      <c r="S1373" s="1462"/>
      <c r="T1373" s="1462"/>
      <c r="U1373" s="1462"/>
      <c r="V1373" s="1462"/>
      <c r="W1373" s="1462"/>
      <c r="X1373" s="1462"/>
      <c r="Y1373" s="1462"/>
    </row>
    <row r="1374" spans="1:25" x14ac:dyDescent="0.3">
      <c r="A1374" s="2294"/>
      <c r="B1374" s="2294"/>
      <c r="C1374" s="2294"/>
      <c r="D1374" s="2294"/>
      <c r="E1374" s="1461"/>
      <c r="R1374" s="1462"/>
      <c r="S1374" s="1462"/>
      <c r="T1374" s="1462"/>
      <c r="U1374" s="1462"/>
      <c r="V1374" s="1462"/>
      <c r="W1374" s="1462"/>
      <c r="X1374" s="1462"/>
      <c r="Y1374" s="1462"/>
    </row>
    <row r="1375" spans="1:25" x14ac:dyDescent="0.3">
      <c r="A1375" s="2294"/>
      <c r="B1375" s="2294"/>
      <c r="C1375" s="2294"/>
      <c r="D1375" s="2294"/>
      <c r="E1375" s="1461"/>
      <c r="R1375" s="1462"/>
      <c r="S1375" s="1462"/>
      <c r="T1375" s="1462"/>
      <c r="U1375" s="1462"/>
      <c r="V1375" s="1462"/>
      <c r="W1375" s="1462"/>
      <c r="X1375" s="1462"/>
      <c r="Y1375" s="1462"/>
    </row>
    <row r="1376" spans="1:25" x14ac:dyDescent="0.3">
      <c r="A1376" s="2294"/>
      <c r="B1376" s="2294"/>
      <c r="C1376" s="2294"/>
      <c r="D1376" s="2294"/>
      <c r="E1376" s="1461"/>
      <c r="R1376" s="1462"/>
      <c r="S1376" s="1462"/>
      <c r="T1376" s="1462"/>
      <c r="U1376" s="1462"/>
      <c r="V1376" s="1462"/>
      <c r="W1376" s="1462"/>
      <c r="X1376" s="1462"/>
      <c r="Y1376" s="1462"/>
    </row>
    <row r="1377" spans="1:25" x14ac:dyDescent="0.3">
      <c r="A1377" s="2294"/>
      <c r="B1377" s="2294"/>
      <c r="C1377" s="2294"/>
      <c r="D1377" s="2294"/>
      <c r="E1377" s="1461"/>
      <c r="R1377" s="1462"/>
      <c r="S1377" s="1462"/>
      <c r="T1377" s="1462"/>
      <c r="U1377" s="1462"/>
      <c r="V1377" s="1462"/>
      <c r="W1377" s="1462"/>
      <c r="X1377" s="1462"/>
      <c r="Y1377" s="1462"/>
    </row>
    <row r="1378" spans="1:25" x14ac:dyDescent="0.3">
      <c r="A1378" s="2294"/>
      <c r="B1378" s="2294"/>
      <c r="C1378" s="2294"/>
      <c r="D1378" s="2294"/>
      <c r="E1378" s="1461"/>
      <c r="R1378" s="1462"/>
      <c r="S1378" s="1462"/>
      <c r="T1378" s="1462"/>
      <c r="U1378" s="1462"/>
      <c r="V1378" s="1462"/>
      <c r="W1378" s="1462"/>
      <c r="X1378" s="1462"/>
      <c r="Y1378" s="1462"/>
    </row>
    <row r="1379" spans="1:25" x14ac:dyDescent="0.3">
      <c r="A1379" s="2294"/>
      <c r="B1379" s="2294"/>
      <c r="C1379" s="2294"/>
      <c r="D1379" s="2294"/>
      <c r="E1379" s="1461"/>
      <c r="R1379" s="1462"/>
      <c r="S1379" s="1462"/>
      <c r="T1379" s="1462"/>
      <c r="U1379" s="1462"/>
      <c r="V1379" s="1462"/>
      <c r="W1379" s="1462"/>
      <c r="X1379" s="1462"/>
      <c r="Y1379" s="1462"/>
    </row>
    <row r="1380" spans="1:25" x14ac:dyDescent="0.3">
      <c r="A1380" s="2294"/>
      <c r="B1380" s="2294"/>
      <c r="C1380" s="2294"/>
      <c r="D1380" s="2294"/>
      <c r="E1380" s="1461"/>
      <c r="R1380" s="1462"/>
      <c r="S1380" s="1462"/>
      <c r="T1380" s="1462"/>
      <c r="U1380" s="1462"/>
      <c r="V1380" s="1462"/>
      <c r="W1380" s="1462"/>
      <c r="X1380" s="1462"/>
      <c r="Y1380" s="1462"/>
    </row>
    <row r="1381" spans="1:25" x14ac:dyDescent="0.3">
      <c r="A1381" s="2294"/>
      <c r="B1381" s="2294"/>
      <c r="C1381" s="2294"/>
      <c r="D1381" s="2294"/>
      <c r="E1381" s="1461"/>
      <c r="R1381" s="1462"/>
      <c r="S1381" s="1462"/>
      <c r="T1381" s="1462"/>
      <c r="U1381" s="1462"/>
      <c r="V1381" s="1462"/>
      <c r="W1381" s="1462"/>
      <c r="X1381" s="1462"/>
      <c r="Y1381" s="1462"/>
    </row>
    <row r="1382" spans="1:25" x14ac:dyDescent="0.3">
      <c r="A1382" s="2294"/>
      <c r="B1382" s="2294"/>
      <c r="C1382" s="2294"/>
      <c r="D1382" s="2294"/>
      <c r="E1382" s="1461"/>
      <c r="R1382" s="1462"/>
      <c r="S1382" s="1462"/>
      <c r="T1382" s="1462"/>
      <c r="U1382" s="1462"/>
      <c r="V1382" s="1462"/>
      <c r="W1382" s="1462"/>
      <c r="X1382" s="1462"/>
      <c r="Y1382" s="1462"/>
    </row>
    <row r="1383" spans="1:25" x14ac:dyDescent="0.3">
      <c r="A1383" s="2294"/>
      <c r="B1383" s="2294"/>
      <c r="C1383" s="2294"/>
      <c r="D1383" s="2294"/>
      <c r="E1383" s="1461"/>
      <c r="R1383" s="1462"/>
      <c r="S1383" s="1462"/>
      <c r="T1383" s="1462"/>
      <c r="U1383" s="1462"/>
      <c r="V1383" s="1462"/>
      <c r="W1383" s="1462"/>
      <c r="X1383" s="1462"/>
      <c r="Y1383" s="1462"/>
    </row>
    <row r="1384" spans="1:25" x14ac:dyDescent="0.3">
      <c r="A1384" s="2294"/>
      <c r="B1384" s="2294"/>
      <c r="C1384" s="2294"/>
      <c r="D1384" s="2294"/>
      <c r="E1384" s="1461"/>
      <c r="R1384" s="1462"/>
      <c r="S1384" s="1462"/>
      <c r="T1384" s="1462"/>
      <c r="U1384" s="1462"/>
      <c r="V1384" s="1462"/>
      <c r="W1384" s="1462"/>
      <c r="X1384" s="1462"/>
      <c r="Y1384" s="1462"/>
    </row>
    <row r="1385" spans="1:25" x14ac:dyDescent="0.3">
      <c r="A1385" s="2294"/>
      <c r="B1385" s="2294"/>
      <c r="C1385" s="2294"/>
      <c r="D1385" s="2294"/>
      <c r="E1385" s="1461"/>
      <c r="R1385" s="1462"/>
      <c r="S1385" s="1462"/>
      <c r="T1385" s="1462"/>
      <c r="U1385" s="1462"/>
      <c r="V1385" s="1462"/>
      <c r="W1385" s="1462"/>
      <c r="X1385" s="1462"/>
      <c r="Y1385" s="1462"/>
    </row>
    <row r="1386" spans="1:25" x14ac:dyDescent="0.3">
      <c r="A1386" s="2294"/>
      <c r="B1386" s="2294"/>
      <c r="C1386" s="2294"/>
      <c r="D1386" s="2294"/>
      <c r="E1386" s="1461"/>
      <c r="R1386" s="1462"/>
      <c r="S1386" s="1462"/>
      <c r="T1386" s="1462"/>
      <c r="U1386" s="1462"/>
      <c r="V1386" s="1462"/>
      <c r="W1386" s="1462"/>
      <c r="X1386" s="1462"/>
      <c r="Y1386" s="1462"/>
    </row>
    <row r="1387" spans="1:25" x14ac:dyDescent="0.3">
      <c r="A1387" s="2294"/>
      <c r="B1387" s="2294"/>
      <c r="C1387" s="2294"/>
      <c r="D1387" s="2294"/>
      <c r="E1387" s="1461"/>
      <c r="R1387" s="1462"/>
      <c r="S1387" s="1462"/>
      <c r="T1387" s="1462"/>
      <c r="U1387" s="1462"/>
      <c r="V1387" s="1462"/>
      <c r="W1387" s="1462"/>
      <c r="X1387" s="1462"/>
      <c r="Y1387" s="1462"/>
    </row>
    <row r="1388" spans="1:25" x14ac:dyDescent="0.3">
      <c r="A1388" s="2294"/>
      <c r="B1388" s="2294"/>
      <c r="C1388" s="2294"/>
      <c r="D1388" s="2294"/>
      <c r="E1388" s="1461"/>
      <c r="R1388" s="1462"/>
      <c r="S1388" s="1462"/>
      <c r="T1388" s="1462"/>
      <c r="U1388" s="1462"/>
      <c r="V1388" s="1462"/>
      <c r="W1388" s="1462"/>
      <c r="X1388" s="1462"/>
      <c r="Y1388" s="1462"/>
    </row>
    <row r="1389" spans="1:25" x14ac:dyDescent="0.3">
      <c r="A1389" s="2294"/>
      <c r="B1389" s="2294"/>
      <c r="C1389" s="2294"/>
      <c r="D1389" s="2294"/>
      <c r="E1389" s="1461"/>
      <c r="R1389" s="1462"/>
      <c r="S1389" s="1462"/>
      <c r="T1389" s="1462"/>
      <c r="U1389" s="1462"/>
      <c r="V1389" s="1462"/>
      <c r="W1389" s="1462"/>
      <c r="X1389" s="1462"/>
      <c r="Y1389" s="1462"/>
    </row>
    <row r="1390" spans="1:25" x14ac:dyDescent="0.3">
      <c r="A1390" s="2294"/>
      <c r="B1390" s="2294"/>
      <c r="C1390" s="2294"/>
      <c r="D1390" s="2294"/>
      <c r="E1390" s="1461"/>
      <c r="R1390" s="1462"/>
      <c r="S1390" s="1462"/>
      <c r="T1390" s="1462"/>
      <c r="U1390" s="1462"/>
      <c r="V1390" s="1462"/>
      <c r="W1390" s="1462"/>
      <c r="X1390" s="1462"/>
      <c r="Y1390" s="1462"/>
    </row>
    <row r="1391" spans="1:25" x14ac:dyDescent="0.3">
      <c r="A1391" s="2294"/>
      <c r="B1391" s="2294"/>
      <c r="C1391" s="2294"/>
      <c r="D1391" s="2294"/>
      <c r="E1391" s="1461"/>
      <c r="R1391" s="1462"/>
      <c r="S1391" s="1462"/>
      <c r="T1391" s="1462"/>
      <c r="U1391" s="1462"/>
      <c r="V1391" s="1462"/>
      <c r="W1391" s="1462"/>
      <c r="X1391" s="1462"/>
      <c r="Y1391" s="1462"/>
    </row>
    <row r="1392" spans="1:25" x14ac:dyDescent="0.3">
      <c r="A1392" s="2294"/>
      <c r="B1392" s="2294"/>
      <c r="C1392" s="2294"/>
      <c r="D1392" s="2294"/>
      <c r="E1392" s="1461"/>
      <c r="R1392" s="1462"/>
      <c r="S1392" s="1462"/>
      <c r="T1392" s="1462"/>
      <c r="U1392" s="1462"/>
      <c r="V1392" s="1462"/>
      <c r="W1392" s="1462"/>
      <c r="X1392" s="1462"/>
      <c r="Y1392" s="1462"/>
    </row>
    <row r="1393" spans="1:25" x14ac:dyDescent="0.3">
      <c r="A1393" s="2294"/>
      <c r="B1393" s="2294"/>
      <c r="C1393" s="2294"/>
      <c r="D1393" s="2294"/>
      <c r="E1393" s="1461"/>
      <c r="R1393" s="1462"/>
      <c r="S1393" s="1462"/>
      <c r="T1393" s="1462"/>
      <c r="U1393" s="1462"/>
      <c r="V1393" s="1462"/>
      <c r="W1393" s="1462"/>
      <c r="X1393" s="1462"/>
      <c r="Y1393" s="1462"/>
    </row>
    <row r="1394" spans="1:25" x14ac:dyDescent="0.3">
      <c r="A1394" s="2294"/>
      <c r="B1394" s="2294"/>
      <c r="C1394" s="2294"/>
      <c r="D1394" s="2294"/>
      <c r="E1394" s="1461"/>
      <c r="R1394" s="1462"/>
      <c r="S1394" s="1462"/>
      <c r="T1394" s="1462"/>
      <c r="U1394" s="1462"/>
      <c r="V1394" s="1462"/>
      <c r="W1394" s="1462"/>
      <c r="X1394" s="1462"/>
      <c r="Y1394" s="1462"/>
    </row>
    <row r="1395" spans="1:25" x14ac:dyDescent="0.3">
      <c r="A1395" s="2294"/>
      <c r="B1395" s="2294"/>
      <c r="C1395" s="2294"/>
      <c r="D1395" s="2294"/>
      <c r="E1395" s="1461"/>
      <c r="R1395" s="1462"/>
      <c r="S1395" s="1462"/>
      <c r="T1395" s="1462"/>
      <c r="U1395" s="1462"/>
      <c r="V1395" s="1462"/>
      <c r="W1395" s="1462"/>
      <c r="X1395" s="1462"/>
      <c r="Y1395" s="1462"/>
    </row>
    <row r="1396" spans="1:25" x14ac:dyDescent="0.3">
      <c r="A1396" s="2294"/>
      <c r="B1396" s="2294"/>
      <c r="C1396" s="2294"/>
      <c r="D1396" s="2294"/>
      <c r="E1396" s="1461"/>
      <c r="R1396" s="1462"/>
      <c r="S1396" s="1462"/>
      <c r="T1396" s="1462"/>
      <c r="U1396" s="1462"/>
      <c r="V1396" s="1462"/>
      <c r="W1396" s="1462"/>
      <c r="X1396" s="1462"/>
      <c r="Y1396" s="1462"/>
    </row>
    <row r="1397" spans="1:25" x14ac:dyDescent="0.3">
      <c r="A1397" s="2294"/>
      <c r="B1397" s="2294"/>
      <c r="C1397" s="2294"/>
      <c r="D1397" s="2294"/>
      <c r="E1397" s="1461"/>
      <c r="R1397" s="1462"/>
      <c r="S1397" s="1462"/>
      <c r="T1397" s="1462"/>
      <c r="U1397" s="1462"/>
      <c r="V1397" s="1462"/>
      <c r="W1397" s="1462"/>
      <c r="X1397" s="1462"/>
      <c r="Y1397" s="1462"/>
    </row>
    <row r="1398" spans="1:25" x14ac:dyDescent="0.3">
      <c r="A1398" s="2294"/>
      <c r="B1398" s="2294"/>
      <c r="C1398" s="2294"/>
      <c r="D1398" s="2294"/>
      <c r="E1398" s="1461"/>
      <c r="R1398" s="1462"/>
      <c r="S1398" s="1462"/>
      <c r="T1398" s="1462"/>
      <c r="U1398" s="1462"/>
      <c r="V1398" s="1462"/>
      <c r="W1398" s="1462"/>
      <c r="X1398" s="1462"/>
      <c r="Y1398" s="1462"/>
    </row>
    <row r="1399" spans="1:25" x14ac:dyDescent="0.3">
      <c r="A1399" s="2294"/>
      <c r="B1399" s="2294"/>
      <c r="C1399" s="2294"/>
      <c r="D1399" s="2294"/>
      <c r="E1399" s="1461"/>
      <c r="R1399" s="1462"/>
      <c r="S1399" s="1462"/>
      <c r="T1399" s="1462"/>
      <c r="U1399" s="1462"/>
      <c r="V1399" s="1462"/>
      <c r="W1399" s="1462"/>
      <c r="X1399" s="1462"/>
      <c r="Y1399" s="1462"/>
    </row>
    <row r="1400" spans="1:25" x14ac:dyDescent="0.3">
      <c r="A1400" s="2294"/>
      <c r="B1400" s="2294"/>
      <c r="C1400" s="2294"/>
      <c r="D1400" s="2294"/>
      <c r="E1400" s="1461"/>
      <c r="R1400" s="1462"/>
      <c r="S1400" s="1462"/>
      <c r="T1400" s="1462"/>
      <c r="U1400" s="1462"/>
      <c r="V1400" s="1462"/>
      <c r="W1400" s="1462"/>
      <c r="X1400" s="1462"/>
      <c r="Y1400" s="1462"/>
    </row>
    <row r="1401" spans="1:25" x14ac:dyDescent="0.3">
      <c r="A1401" s="2294"/>
      <c r="B1401" s="2294"/>
      <c r="C1401" s="2294"/>
      <c r="D1401" s="2294"/>
      <c r="E1401" s="1461"/>
      <c r="R1401" s="1462"/>
      <c r="S1401" s="1462"/>
      <c r="T1401" s="1462"/>
      <c r="U1401" s="1462"/>
      <c r="V1401" s="1462"/>
      <c r="W1401" s="1462"/>
      <c r="X1401" s="1462"/>
      <c r="Y1401" s="1462"/>
    </row>
    <row r="1402" spans="1:25" x14ac:dyDescent="0.3">
      <c r="A1402" s="2294"/>
      <c r="B1402" s="2294"/>
      <c r="C1402" s="2294"/>
      <c r="D1402" s="2294"/>
      <c r="E1402" s="1461"/>
      <c r="R1402" s="1462"/>
      <c r="S1402" s="1462"/>
      <c r="T1402" s="1462"/>
      <c r="U1402" s="1462"/>
      <c r="V1402" s="1462"/>
      <c r="W1402" s="1462"/>
      <c r="X1402" s="1462"/>
      <c r="Y1402" s="1462"/>
    </row>
    <row r="1403" spans="1:25" x14ac:dyDescent="0.3">
      <c r="A1403" s="2294"/>
      <c r="B1403" s="2294"/>
      <c r="C1403" s="2294"/>
      <c r="D1403" s="2294"/>
      <c r="E1403" s="1461"/>
      <c r="R1403" s="1462"/>
      <c r="S1403" s="1462"/>
      <c r="T1403" s="1462"/>
      <c r="U1403" s="1462"/>
      <c r="V1403" s="1462"/>
      <c r="W1403" s="1462"/>
      <c r="X1403" s="1462"/>
      <c r="Y1403" s="1462"/>
    </row>
    <row r="1404" spans="1:25" x14ac:dyDescent="0.3">
      <c r="A1404" s="2294"/>
      <c r="B1404" s="2294"/>
      <c r="C1404" s="2294"/>
      <c r="D1404" s="2294"/>
      <c r="E1404" s="1461"/>
      <c r="R1404" s="1462"/>
      <c r="S1404" s="1462"/>
      <c r="T1404" s="1462"/>
      <c r="U1404" s="1462"/>
      <c r="V1404" s="1462"/>
      <c r="W1404" s="1462"/>
      <c r="X1404" s="1462"/>
      <c r="Y1404" s="1462"/>
    </row>
    <row r="1405" spans="1:25" x14ac:dyDescent="0.3">
      <c r="A1405" s="2294"/>
      <c r="B1405" s="2294"/>
      <c r="C1405" s="2294"/>
      <c r="D1405" s="2294"/>
      <c r="E1405" s="1461"/>
      <c r="R1405" s="1462"/>
      <c r="S1405" s="1462"/>
      <c r="T1405" s="1462"/>
      <c r="U1405" s="1462"/>
      <c r="V1405" s="1462"/>
      <c r="W1405" s="1462"/>
      <c r="X1405" s="1462"/>
      <c r="Y1405" s="1462"/>
    </row>
    <row r="1406" spans="1:25" x14ac:dyDescent="0.3">
      <c r="A1406" s="2294"/>
      <c r="B1406" s="2294"/>
      <c r="C1406" s="2294"/>
      <c r="D1406" s="2294"/>
      <c r="E1406" s="1461"/>
      <c r="R1406" s="1462"/>
      <c r="S1406" s="1462"/>
      <c r="T1406" s="1462"/>
      <c r="U1406" s="1462"/>
      <c r="V1406" s="1462"/>
      <c r="W1406" s="1462"/>
      <c r="X1406" s="1462"/>
      <c r="Y1406" s="1462"/>
    </row>
    <row r="1407" spans="1:25" x14ac:dyDescent="0.3">
      <c r="A1407" s="2294"/>
      <c r="B1407" s="2294"/>
      <c r="C1407" s="2294"/>
      <c r="D1407" s="2294"/>
      <c r="E1407" s="1461"/>
      <c r="R1407" s="1462"/>
      <c r="S1407" s="1462"/>
      <c r="T1407" s="1462"/>
      <c r="U1407" s="1462"/>
      <c r="V1407" s="1462"/>
      <c r="W1407" s="1462"/>
      <c r="X1407" s="1462"/>
      <c r="Y1407" s="1462"/>
    </row>
    <row r="1408" spans="1:25" x14ac:dyDescent="0.3">
      <c r="A1408" s="2294"/>
      <c r="B1408" s="2294"/>
      <c r="C1408" s="2294"/>
      <c r="D1408" s="2294"/>
      <c r="E1408" s="1461"/>
      <c r="R1408" s="1462"/>
      <c r="S1408" s="1462"/>
      <c r="T1408" s="1462"/>
      <c r="U1408" s="1462"/>
      <c r="V1408" s="1462"/>
      <c r="W1408" s="1462"/>
      <c r="X1408" s="1462"/>
      <c r="Y1408" s="1462"/>
    </row>
    <row r="1409" spans="1:25" x14ac:dyDescent="0.3">
      <c r="A1409" s="2294"/>
      <c r="B1409" s="2294"/>
      <c r="C1409" s="2294"/>
      <c r="D1409" s="2294"/>
      <c r="E1409" s="1461"/>
      <c r="R1409" s="1462"/>
      <c r="S1409" s="1462"/>
      <c r="T1409" s="1462"/>
      <c r="U1409" s="1462"/>
      <c r="V1409" s="1462"/>
      <c r="W1409" s="1462"/>
      <c r="X1409" s="1462"/>
      <c r="Y1409" s="1462"/>
    </row>
    <row r="1410" spans="1:25" x14ac:dyDescent="0.3">
      <c r="A1410" s="2294"/>
      <c r="B1410" s="2294"/>
      <c r="C1410" s="2294"/>
      <c r="D1410" s="2294"/>
      <c r="E1410" s="1461"/>
      <c r="R1410" s="1462"/>
      <c r="S1410" s="1462"/>
      <c r="T1410" s="1462"/>
      <c r="U1410" s="1462"/>
      <c r="V1410" s="1462"/>
      <c r="W1410" s="1462"/>
      <c r="X1410" s="1462"/>
      <c r="Y1410" s="1462"/>
    </row>
    <row r="1411" spans="1:25" x14ac:dyDescent="0.3">
      <c r="A1411" s="2294"/>
      <c r="B1411" s="2294"/>
      <c r="C1411" s="2294"/>
      <c r="D1411" s="2294"/>
      <c r="E1411" s="1461"/>
      <c r="R1411" s="1462"/>
      <c r="S1411" s="1462"/>
      <c r="T1411" s="1462"/>
      <c r="U1411" s="1462"/>
      <c r="V1411" s="1462"/>
      <c r="W1411" s="1462"/>
      <c r="X1411" s="1462"/>
      <c r="Y1411" s="1462"/>
    </row>
    <row r="1412" spans="1:25" x14ac:dyDescent="0.3">
      <c r="A1412" s="2294"/>
      <c r="B1412" s="2294"/>
      <c r="C1412" s="2294"/>
      <c r="D1412" s="2294"/>
      <c r="E1412" s="1461"/>
      <c r="R1412" s="1462"/>
      <c r="S1412" s="1462"/>
      <c r="T1412" s="1462"/>
      <c r="U1412" s="1462"/>
      <c r="V1412" s="1462"/>
      <c r="W1412" s="1462"/>
      <c r="X1412" s="1462"/>
      <c r="Y1412" s="1462"/>
    </row>
    <row r="1413" spans="1:25" x14ac:dyDescent="0.3">
      <c r="A1413" s="2294"/>
      <c r="B1413" s="2294"/>
      <c r="C1413" s="2294"/>
      <c r="D1413" s="2294"/>
      <c r="E1413" s="1461"/>
      <c r="R1413" s="1462"/>
      <c r="S1413" s="1462"/>
      <c r="T1413" s="1462"/>
      <c r="U1413" s="1462"/>
      <c r="V1413" s="1462"/>
      <c r="W1413" s="1462"/>
      <c r="X1413" s="1462"/>
      <c r="Y1413" s="1462"/>
    </row>
    <row r="1414" spans="1:25" x14ac:dyDescent="0.3">
      <c r="A1414" s="2294"/>
      <c r="B1414" s="2294"/>
      <c r="C1414" s="2294"/>
      <c r="D1414" s="2294"/>
      <c r="E1414" s="1461"/>
      <c r="R1414" s="1462"/>
      <c r="S1414" s="1462"/>
      <c r="T1414" s="1462"/>
      <c r="U1414" s="1462"/>
      <c r="V1414" s="1462"/>
      <c r="W1414" s="1462"/>
      <c r="X1414" s="1462"/>
      <c r="Y1414" s="1462"/>
    </row>
    <row r="1415" spans="1:25" x14ac:dyDescent="0.3">
      <c r="A1415" s="2294"/>
      <c r="B1415" s="2294"/>
      <c r="C1415" s="2294"/>
      <c r="D1415" s="2294"/>
      <c r="E1415" s="1461"/>
      <c r="R1415" s="1462"/>
      <c r="S1415" s="1462"/>
      <c r="T1415" s="1462"/>
      <c r="U1415" s="1462"/>
      <c r="V1415" s="1462"/>
      <c r="W1415" s="1462"/>
      <c r="X1415" s="1462"/>
      <c r="Y1415" s="1462"/>
    </row>
    <row r="1416" spans="1:25" x14ac:dyDescent="0.3">
      <c r="A1416" s="2294"/>
      <c r="B1416" s="2294"/>
      <c r="C1416" s="2294"/>
      <c r="D1416" s="2294"/>
      <c r="E1416" s="1461"/>
      <c r="R1416" s="1462"/>
      <c r="S1416" s="1462"/>
      <c r="T1416" s="1462"/>
      <c r="U1416" s="1462"/>
      <c r="V1416" s="1462"/>
      <c r="W1416" s="1462"/>
      <c r="X1416" s="1462"/>
      <c r="Y1416" s="1462"/>
    </row>
    <row r="1417" spans="1:25" x14ac:dyDescent="0.3">
      <c r="A1417" s="2294"/>
      <c r="B1417" s="2294"/>
      <c r="C1417" s="2294"/>
      <c r="D1417" s="2294"/>
      <c r="E1417" s="1461"/>
      <c r="R1417" s="1462"/>
      <c r="S1417" s="1462"/>
      <c r="T1417" s="1462"/>
      <c r="U1417" s="1462"/>
      <c r="V1417" s="1462"/>
      <c r="W1417" s="1462"/>
      <c r="X1417" s="1462"/>
      <c r="Y1417" s="1462"/>
    </row>
    <row r="1418" spans="1:25" x14ac:dyDescent="0.3">
      <c r="A1418" s="2294"/>
      <c r="B1418" s="2294"/>
      <c r="C1418" s="2294"/>
      <c r="D1418" s="2294"/>
      <c r="E1418" s="1461"/>
      <c r="R1418" s="1462"/>
      <c r="S1418" s="1462"/>
      <c r="T1418" s="1462"/>
      <c r="U1418" s="1462"/>
      <c r="V1418" s="1462"/>
      <c r="W1418" s="1462"/>
      <c r="X1418" s="1462"/>
      <c r="Y1418" s="1462"/>
    </row>
    <row r="1419" spans="1:25" x14ac:dyDescent="0.3">
      <c r="A1419" s="2294"/>
      <c r="B1419" s="2294"/>
      <c r="C1419" s="2294"/>
      <c r="D1419" s="2294"/>
      <c r="E1419" s="1461"/>
      <c r="R1419" s="1462"/>
      <c r="S1419" s="1462"/>
      <c r="T1419" s="1462"/>
      <c r="U1419" s="1462"/>
      <c r="V1419" s="1462"/>
      <c r="W1419" s="1462"/>
      <c r="X1419" s="1462"/>
      <c r="Y1419" s="1462"/>
    </row>
    <row r="1420" spans="1:25" x14ac:dyDescent="0.3">
      <c r="A1420" s="2294"/>
      <c r="B1420" s="2294"/>
      <c r="C1420" s="2294"/>
      <c r="D1420" s="2294"/>
      <c r="E1420" s="1461"/>
      <c r="R1420" s="1462"/>
      <c r="S1420" s="1462"/>
      <c r="T1420" s="1462"/>
      <c r="U1420" s="1462"/>
      <c r="V1420" s="1462"/>
      <c r="W1420" s="1462"/>
      <c r="X1420" s="1462"/>
      <c r="Y1420" s="1462"/>
    </row>
    <row r="1421" spans="1:25" x14ac:dyDescent="0.3">
      <c r="A1421" s="2294"/>
      <c r="B1421" s="2294"/>
      <c r="C1421" s="2294"/>
      <c r="D1421" s="2294"/>
      <c r="E1421" s="1461"/>
      <c r="R1421" s="1462"/>
      <c r="S1421" s="1462"/>
      <c r="T1421" s="1462"/>
      <c r="U1421" s="1462"/>
      <c r="V1421" s="1462"/>
      <c r="W1421" s="1462"/>
      <c r="X1421" s="1462"/>
      <c r="Y1421" s="1462"/>
    </row>
    <row r="1422" spans="1:25" x14ac:dyDescent="0.3">
      <c r="A1422" s="2294"/>
      <c r="B1422" s="2294"/>
      <c r="C1422" s="2294"/>
      <c r="D1422" s="2294"/>
      <c r="E1422" s="1461"/>
      <c r="R1422" s="1462"/>
      <c r="S1422" s="1462"/>
      <c r="T1422" s="1462"/>
      <c r="U1422" s="1462"/>
      <c r="V1422" s="1462"/>
      <c r="W1422" s="1462"/>
      <c r="X1422" s="1462"/>
      <c r="Y1422" s="1462"/>
    </row>
    <row r="1423" spans="1:25" x14ac:dyDescent="0.3">
      <c r="A1423" s="2294"/>
      <c r="B1423" s="2294"/>
      <c r="C1423" s="2294"/>
      <c r="D1423" s="2294"/>
      <c r="E1423" s="1461"/>
      <c r="R1423" s="1462"/>
      <c r="S1423" s="1462"/>
      <c r="T1423" s="1462"/>
      <c r="U1423" s="1462"/>
      <c r="V1423" s="1462"/>
      <c r="W1423" s="1462"/>
      <c r="X1423" s="1462"/>
      <c r="Y1423" s="1462"/>
    </row>
    <row r="1424" spans="1:25" x14ac:dyDescent="0.3">
      <c r="A1424" s="2294"/>
      <c r="B1424" s="2294"/>
      <c r="C1424" s="2294"/>
      <c r="D1424" s="2294"/>
      <c r="E1424" s="1461"/>
      <c r="R1424" s="1462"/>
      <c r="S1424" s="1462"/>
      <c r="T1424" s="1462"/>
      <c r="U1424" s="1462"/>
      <c r="V1424" s="1462"/>
      <c r="W1424" s="1462"/>
      <c r="X1424" s="1462"/>
      <c r="Y1424" s="1462"/>
    </row>
    <row r="1425" spans="1:25" x14ac:dyDescent="0.3">
      <c r="A1425" s="2294"/>
      <c r="B1425" s="2294"/>
      <c r="C1425" s="2294"/>
      <c r="D1425" s="2294"/>
      <c r="E1425" s="1461"/>
      <c r="R1425" s="1462"/>
      <c r="S1425" s="1462"/>
      <c r="T1425" s="1462"/>
      <c r="U1425" s="1462"/>
      <c r="V1425" s="1462"/>
      <c r="W1425" s="1462"/>
      <c r="X1425" s="1462"/>
      <c r="Y1425" s="1462"/>
    </row>
    <row r="1426" spans="1:25" x14ac:dyDescent="0.3">
      <c r="A1426" s="2294"/>
      <c r="B1426" s="2294"/>
      <c r="C1426" s="2294"/>
      <c r="D1426" s="2294"/>
      <c r="E1426" s="1461"/>
      <c r="R1426" s="1462"/>
      <c r="S1426" s="1462"/>
      <c r="T1426" s="1462"/>
      <c r="U1426" s="1462"/>
      <c r="V1426" s="1462"/>
      <c r="W1426" s="1462"/>
      <c r="X1426" s="1462"/>
      <c r="Y1426" s="1462"/>
    </row>
    <row r="1427" spans="1:25" x14ac:dyDescent="0.3">
      <c r="A1427" s="2294"/>
      <c r="B1427" s="2294"/>
      <c r="C1427" s="2294"/>
      <c r="D1427" s="2294"/>
      <c r="E1427" s="1461"/>
      <c r="R1427" s="1462"/>
      <c r="S1427" s="1462"/>
      <c r="T1427" s="1462"/>
      <c r="U1427" s="1462"/>
      <c r="V1427" s="1462"/>
      <c r="W1427" s="1462"/>
      <c r="X1427" s="1462"/>
      <c r="Y1427" s="1462"/>
    </row>
    <row r="1428" spans="1:25" x14ac:dyDescent="0.3">
      <c r="A1428" s="2294"/>
      <c r="B1428" s="2294"/>
      <c r="C1428" s="2294"/>
      <c r="D1428" s="2294"/>
      <c r="E1428" s="1461"/>
      <c r="R1428" s="1462"/>
      <c r="S1428" s="1462"/>
      <c r="T1428" s="1462"/>
      <c r="U1428" s="1462"/>
      <c r="V1428" s="1462"/>
      <c r="W1428" s="1462"/>
      <c r="X1428" s="1462"/>
      <c r="Y1428" s="1462"/>
    </row>
    <row r="1429" spans="1:25" x14ac:dyDescent="0.3">
      <c r="A1429" s="2294"/>
      <c r="B1429" s="2294"/>
      <c r="C1429" s="2294"/>
      <c r="D1429" s="2294"/>
      <c r="E1429" s="1461"/>
      <c r="R1429" s="1462"/>
      <c r="S1429" s="1462"/>
      <c r="T1429" s="1462"/>
      <c r="U1429" s="1462"/>
      <c r="V1429" s="1462"/>
      <c r="W1429" s="1462"/>
      <c r="X1429" s="1462"/>
      <c r="Y1429" s="1462"/>
    </row>
    <row r="1430" spans="1:25" x14ac:dyDescent="0.3">
      <c r="A1430" s="2294"/>
      <c r="B1430" s="2294"/>
      <c r="C1430" s="2294"/>
      <c r="D1430" s="2294"/>
      <c r="E1430" s="1461"/>
      <c r="R1430" s="1462"/>
      <c r="S1430" s="1462"/>
      <c r="T1430" s="1462"/>
      <c r="U1430" s="1462"/>
      <c r="V1430" s="1462"/>
      <c r="W1430" s="1462"/>
      <c r="X1430" s="1462"/>
      <c r="Y1430" s="1462"/>
    </row>
    <row r="1431" spans="1:25" x14ac:dyDescent="0.3">
      <c r="A1431" s="2294"/>
      <c r="B1431" s="2294"/>
      <c r="C1431" s="2294"/>
      <c r="D1431" s="2294"/>
      <c r="E1431" s="1461"/>
      <c r="R1431" s="1462"/>
      <c r="S1431" s="1462"/>
      <c r="T1431" s="1462"/>
      <c r="U1431" s="1462"/>
      <c r="V1431" s="1462"/>
      <c r="W1431" s="1462"/>
      <c r="X1431" s="1462"/>
      <c r="Y1431" s="1462"/>
    </row>
    <row r="1432" spans="1:25" x14ac:dyDescent="0.3">
      <c r="A1432" s="2294"/>
      <c r="B1432" s="2294"/>
      <c r="C1432" s="2294"/>
      <c r="D1432" s="2294"/>
      <c r="E1432" s="1461"/>
      <c r="R1432" s="1462"/>
      <c r="S1432" s="1462"/>
      <c r="T1432" s="1462"/>
      <c r="U1432" s="1462"/>
      <c r="V1432" s="1462"/>
      <c r="W1432" s="1462"/>
      <c r="X1432" s="1462"/>
      <c r="Y1432" s="1462"/>
    </row>
    <row r="1433" spans="1:25" x14ac:dyDescent="0.3">
      <c r="A1433" s="2294"/>
      <c r="B1433" s="2294"/>
      <c r="C1433" s="2294"/>
      <c r="D1433" s="2294"/>
      <c r="E1433" s="1461"/>
      <c r="R1433" s="1462"/>
      <c r="S1433" s="1462"/>
      <c r="T1433" s="1462"/>
      <c r="U1433" s="1462"/>
      <c r="V1433" s="1462"/>
      <c r="W1433" s="1462"/>
      <c r="X1433" s="1462"/>
      <c r="Y1433" s="1462"/>
    </row>
    <row r="1434" spans="1:25" x14ac:dyDescent="0.3">
      <c r="A1434" s="2294"/>
      <c r="B1434" s="2294"/>
      <c r="C1434" s="2294"/>
      <c r="D1434" s="2294"/>
      <c r="E1434" s="1461"/>
      <c r="R1434" s="1462"/>
      <c r="S1434" s="1462"/>
      <c r="T1434" s="1462"/>
      <c r="U1434" s="1462"/>
      <c r="V1434" s="1462"/>
      <c r="W1434" s="1462"/>
      <c r="X1434" s="1462"/>
      <c r="Y1434" s="1462"/>
    </row>
    <row r="1435" spans="1:25" x14ac:dyDescent="0.3">
      <c r="A1435" s="2294"/>
      <c r="B1435" s="2294"/>
      <c r="C1435" s="2294"/>
      <c r="D1435" s="2294"/>
      <c r="E1435" s="1461"/>
      <c r="R1435" s="1462"/>
      <c r="S1435" s="1462"/>
      <c r="T1435" s="1462"/>
      <c r="U1435" s="1462"/>
      <c r="V1435" s="1462"/>
      <c r="W1435" s="1462"/>
      <c r="X1435" s="1462"/>
      <c r="Y1435" s="1462"/>
    </row>
    <row r="1436" spans="1:25" x14ac:dyDescent="0.3">
      <c r="A1436" s="2294"/>
      <c r="B1436" s="2294"/>
      <c r="C1436" s="2294"/>
      <c r="D1436" s="2294"/>
      <c r="E1436" s="1461"/>
      <c r="R1436" s="1462"/>
      <c r="S1436" s="1462"/>
      <c r="T1436" s="1462"/>
      <c r="U1436" s="1462"/>
      <c r="V1436" s="1462"/>
      <c r="W1436" s="1462"/>
      <c r="X1436" s="1462"/>
      <c r="Y1436" s="1462"/>
    </row>
    <row r="1437" spans="1:25" x14ac:dyDescent="0.3">
      <c r="A1437" s="2294"/>
      <c r="B1437" s="2294"/>
      <c r="C1437" s="2294"/>
      <c r="D1437" s="2294"/>
      <c r="E1437" s="1461"/>
      <c r="R1437" s="1462"/>
      <c r="S1437" s="1462"/>
      <c r="T1437" s="1462"/>
      <c r="U1437" s="1462"/>
      <c r="V1437" s="1462"/>
      <c r="W1437" s="1462"/>
      <c r="X1437" s="1462"/>
      <c r="Y1437" s="1462"/>
    </row>
    <row r="1438" spans="1:25" x14ac:dyDescent="0.3">
      <c r="A1438" s="2294"/>
      <c r="B1438" s="2294"/>
      <c r="C1438" s="2294"/>
      <c r="D1438" s="2294"/>
      <c r="E1438" s="1461"/>
      <c r="R1438" s="1462"/>
      <c r="S1438" s="1462"/>
      <c r="T1438" s="1462"/>
      <c r="U1438" s="1462"/>
      <c r="V1438" s="1462"/>
      <c r="W1438" s="1462"/>
      <c r="X1438" s="1462"/>
      <c r="Y1438" s="1462"/>
    </row>
    <row r="1439" spans="1:25" x14ac:dyDescent="0.3">
      <c r="A1439" s="2294"/>
      <c r="B1439" s="2294"/>
      <c r="C1439" s="2294"/>
      <c r="D1439" s="2294"/>
      <c r="E1439" s="1461"/>
      <c r="R1439" s="1462"/>
      <c r="S1439" s="1462"/>
      <c r="T1439" s="1462"/>
      <c r="U1439" s="1462"/>
      <c r="V1439" s="1462"/>
      <c r="W1439" s="1462"/>
      <c r="X1439" s="1462"/>
      <c r="Y1439" s="1462"/>
    </row>
    <row r="1440" spans="1:25" x14ac:dyDescent="0.3">
      <c r="A1440" s="2294"/>
      <c r="B1440" s="2294"/>
      <c r="C1440" s="2294"/>
      <c r="D1440" s="2294"/>
      <c r="E1440" s="1461"/>
      <c r="R1440" s="1462"/>
      <c r="S1440" s="1462"/>
      <c r="T1440" s="1462"/>
      <c r="U1440" s="1462"/>
      <c r="V1440" s="1462"/>
      <c r="W1440" s="1462"/>
      <c r="X1440" s="1462"/>
      <c r="Y1440" s="1462"/>
    </row>
    <row r="1441" spans="1:25" x14ac:dyDescent="0.3">
      <c r="A1441" s="2294"/>
      <c r="B1441" s="2294"/>
      <c r="C1441" s="2294"/>
      <c r="D1441" s="2294"/>
      <c r="E1441" s="1461"/>
      <c r="R1441" s="1462"/>
      <c r="S1441" s="1462"/>
      <c r="T1441" s="1462"/>
      <c r="U1441" s="1462"/>
      <c r="V1441" s="1462"/>
      <c r="W1441" s="1462"/>
      <c r="X1441" s="1462"/>
      <c r="Y1441" s="1462"/>
    </row>
    <row r="1442" spans="1:25" x14ac:dyDescent="0.3">
      <c r="A1442" s="2294"/>
      <c r="B1442" s="2294"/>
      <c r="C1442" s="2294"/>
      <c r="D1442" s="2294"/>
      <c r="E1442" s="1461"/>
      <c r="R1442" s="1462"/>
      <c r="S1442" s="1462"/>
      <c r="T1442" s="1462"/>
      <c r="U1442" s="1462"/>
      <c r="V1442" s="1462"/>
      <c r="W1442" s="1462"/>
      <c r="X1442" s="1462"/>
      <c r="Y1442" s="1462"/>
    </row>
    <row r="1443" spans="1:25" x14ac:dyDescent="0.3">
      <c r="A1443" s="2294"/>
      <c r="B1443" s="2294"/>
      <c r="C1443" s="2294"/>
      <c r="D1443" s="2294"/>
      <c r="E1443" s="1461"/>
      <c r="R1443" s="1462"/>
      <c r="S1443" s="1462"/>
      <c r="T1443" s="1462"/>
      <c r="U1443" s="1462"/>
      <c r="V1443" s="1462"/>
      <c r="W1443" s="1462"/>
      <c r="X1443" s="1462"/>
      <c r="Y1443" s="1462"/>
    </row>
    <row r="1444" spans="1:25" x14ac:dyDescent="0.3">
      <c r="A1444" s="2294"/>
      <c r="B1444" s="2294"/>
      <c r="C1444" s="2294"/>
      <c r="D1444" s="2294"/>
      <c r="E1444" s="1461"/>
      <c r="R1444" s="1462"/>
      <c r="S1444" s="1462"/>
      <c r="T1444" s="1462"/>
      <c r="U1444" s="1462"/>
      <c r="V1444" s="1462"/>
      <c r="W1444" s="1462"/>
      <c r="X1444" s="1462"/>
      <c r="Y1444" s="1462"/>
    </row>
    <row r="1445" spans="1:25" x14ac:dyDescent="0.3">
      <c r="A1445" s="2294"/>
      <c r="B1445" s="2294"/>
      <c r="C1445" s="2294"/>
      <c r="D1445" s="2294"/>
      <c r="E1445" s="1461"/>
      <c r="R1445" s="1462"/>
      <c r="S1445" s="1462"/>
      <c r="T1445" s="1462"/>
      <c r="U1445" s="1462"/>
      <c r="V1445" s="1462"/>
      <c r="W1445" s="1462"/>
      <c r="X1445" s="1462"/>
      <c r="Y1445" s="1462"/>
    </row>
    <row r="1446" spans="1:25" x14ac:dyDescent="0.3">
      <c r="A1446" s="2294"/>
      <c r="B1446" s="2294"/>
      <c r="C1446" s="2294"/>
      <c r="D1446" s="2294"/>
      <c r="E1446" s="1461"/>
      <c r="R1446" s="1462"/>
      <c r="S1446" s="1462"/>
      <c r="T1446" s="1462"/>
      <c r="U1446" s="1462"/>
      <c r="V1446" s="1462"/>
      <c r="W1446" s="1462"/>
      <c r="X1446" s="1462"/>
      <c r="Y1446" s="1462"/>
    </row>
    <row r="1447" spans="1:25" x14ac:dyDescent="0.3">
      <c r="A1447" s="2294"/>
      <c r="B1447" s="2294"/>
      <c r="C1447" s="2294"/>
      <c r="D1447" s="2294"/>
      <c r="E1447" s="1461"/>
      <c r="R1447" s="1462"/>
      <c r="S1447" s="1462"/>
      <c r="T1447" s="1462"/>
      <c r="U1447" s="1462"/>
      <c r="V1447" s="1462"/>
      <c r="W1447" s="1462"/>
      <c r="X1447" s="1462"/>
      <c r="Y1447" s="1462"/>
    </row>
    <row r="1448" spans="1:25" x14ac:dyDescent="0.3">
      <c r="A1448" s="2294"/>
      <c r="B1448" s="2294"/>
      <c r="C1448" s="2294"/>
      <c r="D1448" s="2294"/>
      <c r="E1448" s="1461"/>
      <c r="R1448" s="1462"/>
      <c r="S1448" s="1462"/>
      <c r="T1448" s="1462"/>
      <c r="U1448" s="1462"/>
      <c r="V1448" s="1462"/>
      <c r="W1448" s="1462"/>
      <c r="X1448" s="1462"/>
      <c r="Y1448" s="1462"/>
    </row>
    <row r="1449" spans="1:25" x14ac:dyDescent="0.3">
      <c r="A1449" s="2294"/>
      <c r="B1449" s="2294"/>
      <c r="C1449" s="2294"/>
      <c r="D1449" s="2294"/>
      <c r="E1449" s="1461"/>
      <c r="R1449" s="1462"/>
      <c r="S1449" s="1462"/>
      <c r="T1449" s="1462"/>
      <c r="U1449" s="1462"/>
      <c r="V1449" s="1462"/>
      <c r="W1449" s="1462"/>
      <c r="X1449" s="1462"/>
      <c r="Y1449" s="1462"/>
    </row>
    <row r="1450" spans="1:25" x14ac:dyDescent="0.3">
      <c r="A1450" s="2294"/>
      <c r="B1450" s="2294"/>
      <c r="C1450" s="2294"/>
      <c r="D1450" s="2294"/>
      <c r="E1450" s="1461"/>
      <c r="R1450" s="1462"/>
      <c r="S1450" s="1462"/>
      <c r="T1450" s="1462"/>
      <c r="U1450" s="1462"/>
      <c r="V1450" s="1462"/>
      <c r="W1450" s="1462"/>
      <c r="X1450" s="1462"/>
      <c r="Y1450" s="1462"/>
    </row>
    <row r="1451" spans="1:25" x14ac:dyDescent="0.3">
      <c r="A1451" s="2294"/>
      <c r="B1451" s="2294"/>
      <c r="C1451" s="2294"/>
      <c r="D1451" s="2294"/>
      <c r="E1451" s="1461"/>
      <c r="R1451" s="1462"/>
      <c r="S1451" s="1462"/>
      <c r="T1451" s="1462"/>
      <c r="U1451" s="1462"/>
      <c r="V1451" s="1462"/>
      <c r="W1451" s="1462"/>
      <c r="X1451" s="1462"/>
      <c r="Y1451" s="1462"/>
    </row>
    <row r="1452" spans="1:25" x14ac:dyDescent="0.3">
      <c r="A1452" s="2294"/>
      <c r="B1452" s="2294"/>
      <c r="C1452" s="2294"/>
      <c r="D1452" s="2294"/>
      <c r="E1452" s="1461"/>
      <c r="R1452" s="1462"/>
      <c r="S1452" s="1462"/>
      <c r="T1452" s="1462"/>
      <c r="U1452" s="1462"/>
      <c r="V1452" s="1462"/>
      <c r="W1452" s="1462"/>
      <c r="X1452" s="1462"/>
      <c r="Y1452" s="1462"/>
    </row>
    <row r="1453" spans="1:25" x14ac:dyDescent="0.3">
      <c r="A1453" s="2294"/>
      <c r="B1453" s="2294"/>
      <c r="C1453" s="2294"/>
      <c r="D1453" s="2294"/>
      <c r="E1453" s="1461"/>
      <c r="R1453" s="1462"/>
      <c r="S1453" s="1462"/>
      <c r="T1453" s="1462"/>
      <c r="U1453" s="1462"/>
      <c r="V1453" s="1462"/>
      <c r="W1453" s="1462"/>
      <c r="X1453" s="1462"/>
      <c r="Y1453" s="1462"/>
    </row>
    <row r="1454" spans="1:25" x14ac:dyDescent="0.3">
      <c r="A1454" s="2294"/>
      <c r="B1454" s="2294"/>
      <c r="C1454" s="2294"/>
      <c r="D1454" s="2294"/>
      <c r="E1454" s="1461"/>
      <c r="R1454" s="1462"/>
      <c r="S1454" s="1462"/>
      <c r="T1454" s="1462"/>
      <c r="U1454" s="1462"/>
      <c r="V1454" s="1462"/>
      <c r="W1454" s="1462"/>
      <c r="X1454" s="1462"/>
      <c r="Y1454" s="1462"/>
    </row>
    <row r="1455" spans="1:25" x14ac:dyDescent="0.3">
      <c r="A1455" s="2294"/>
      <c r="B1455" s="2294"/>
      <c r="C1455" s="2294"/>
      <c r="D1455" s="2294"/>
      <c r="E1455" s="1461"/>
      <c r="R1455" s="1462"/>
      <c r="S1455" s="1462"/>
      <c r="T1455" s="1462"/>
      <c r="U1455" s="1462"/>
      <c r="V1455" s="1462"/>
      <c r="W1455" s="1462"/>
      <c r="X1455" s="1462"/>
      <c r="Y1455" s="1462"/>
    </row>
    <row r="1456" spans="1:25" x14ac:dyDescent="0.3">
      <c r="A1456" s="2294"/>
      <c r="B1456" s="2294"/>
      <c r="C1456" s="2294"/>
      <c r="D1456" s="2294"/>
      <c r="E1456" s="1461"/>
      <c r="R1456" s="1462"/>
      <c r="S1456" s="1462"/>
      <c r="T1456" s="1462"/>
      <c r="U1456" s="1462"/>
      <c r="V1456" s="1462"/>
      <c r="W1456" s="1462"/>
      <c r="X1456" s="1462"/>
      <c r="Y1456" s="1462"/>
    </row>
    <row r="1457" spans="1:25" x14ac:dyDescent="0.3">
      <c r="A1457" s="2294"/>
      <c r="B1457" s="2294"/>
      <c r="C1457" s="2294"/>
      <c r="D1457" s="2294"/>
      <c r="E1457" s="1461"/>
      <c r="R1457" s="1462"/>
      <c r="S1457" s="1462"/>
      <c r="T1457" s="1462"/>
      <c r="U1457" s="1462"/>
      <c r="V1457" s="1462"/>
      <c r="W1457" s="1462"/>
      <c r="X1457" s="1462"/>
      <c r="Y1457" s="1462"/>
    </row>
    <row r="1458" spans="1:25" x14ac:dyDescent="0.3">
      <c r="A1458" s="2294"/>
      <c r="B1458" s="2294"/>
      <c r="C1458" s="2294"/>
      <c r="D1458" s="2294"/>
      <c r="E1458" s="1461"/>
      <c r="R1458" s="1462"/>
      <c r="S1458" s="1462"/>
      <c r="T1458" s="1462"/>
      <c r="U1458" s="1462"/>
      <c r="V1458" s="1462"/>
      <c r="W1458" s="1462"/>
      <c r="X1458" s="1462"/>
      <c r="Y1458" s="1462"/>
    </row>
    <row r="1459" spans="1:25" x14ac:dyDescent="0.3">
      <c r="A1459" s="2294"/>
      <c r="B1459" s="2294"/>
      <c r="C1459" s="2294"/>
      <c r="D1459" s="2294"/>
      <c r="E1459" s="1461"/>
      <c r="R1459" s="1462"/>
      <c r="S1459" s="1462"/>
      <c r="T1459" s="1462"/>
      <c r="U1459" s="1462"/>
      <c r="V1459" s="1462"/>
      <c r="W1459" s="1462"/>
      <c r="X1459" s="1462"/>
      <c r="Y1459" s="1462"/>
    </row>
    <row r="1460" spans="1:25" x14ac:dyDescent="0.3">
      <c r="A1460" s="2294"/>
      <c r="B1460" s="2294"/>
      <c r="C1460" s="2294"/>
      <c r="D1460" s="2294"/>
      <c r="E1460" s="1461"/>
      <c r="R1460" s="1462"/>
      <c r="S1460" s="1462"/>
      <c r="T1460" s="1462"/>
      <c r="U1460" s="1462"/>
      <c r="V1460" s="1462"/>
      <c r="W1460" s="1462"/>
      <c r="X1460" s="1462"/>
      <c r="Y1460" s="1462"/>
    </row>
    <row r="1461" spans="1:25" x14ac:dyDescent="0.3">
      <c r="A1461" s="2294"/>
      <c r="B1461" s="2294"/>
      <c r="C1461" s="2294"/>
      <c r="D1461" s="2294"/>
      <c r="E1461" s="1461"/>
      <c r="R1461" s="1462"/>
      <c r="S1461" s="1462"/>
      <c r="T1461" s="1462"/>
      <c r="U1461" s="1462"/>
      <c r="V1461" s="1462"/>
      <c r="W1461" s="1462"/>
      <c r="X1461" s="1462"/>
      <c r="Y1461" s="1462"/>
    </row>
    <row r="1462" spans="1:25" x14ac:dyDescent="0.3">
      <c r="A1462" s="2294"/>
      <c r="B1462" s="2294"/>
      <c r="C1462" s="2294"/>
      <c r="D1462" s="2294"/>
      <c r="E1462" s="1461"/>
      <c r="R1462" s="1462"/>
      <c r="S1462" s="1462"/>
      <c r="T1462" s="1462"/>
      <c r="U1462" s="1462"/>
      <c r="V1462" s="1462"/>
      <c r="W1462" s="1462"/>
      <c r="X1462" s="1462"/>
      <c r="Y1462" s="1462"/>
    </row>
    <row r="1463" spans="1:25" x14ac:dyDescent="0.3">
      <c r="A1463" s="2294"/>
      <c r="B1463" s="2294"/>
      <c r="C1463" s="2294"/>
      <c r="D1463" s="2294"/>
      <c r="E1463" s="1461"/>
      <c r="R1463" s="1462"/>
      <c r="S1463" s="1462"/>
      <c r="T1463" s="1462"/>
      <c r="U1463" s="1462"/>
      <c r="V1463" s="1462"/>
      <c r="W1463" s="1462"/>
      <c r="X1463" s="1462"/>
      <c r="Y1463" s="1462"/>
    </row>
    <row r="1464" spans="1:25" x14ac:dyDescent="0.3">
      <c r="A1464" s="2294"/>
      <c r="B1464" s="2294"/>
      <c r="C1464" s="2294"/>
      <c r="D1464" s="2294"/>
      <c r="E1464" s="1461"/>
      <c r="R1464" s="1462"/>
      <c r="S1464" s="1462"/>
      <c r="T1464" s="1462"/>
      <c r="U1464" s="1462"/>
      <c r="V1464" s="1462"/>
      <c r="W1464" s="1462"/>
      <c r="X1464" s="1462"/>
      <c r="Y1464" s="1462"/>
    </row>
    <row r="1465" spans="1:25" x14ac:dyDescent="0.3">
      <c r="A1465" s="2294"/>
      <c r="B1465" s="2294"/>
      <c r="C1465" s="2294"/>
      <c r="D1465" s="2294"/>
      <c r="E1465" s="1461"/>
      <c r="R1465" s="1462"/>
      <c r="S1465" s="1462"/>
      <c r="T1465" s="1462"/>
      <c r="U1465" s="1462"/>
      <c r="V1465" s="1462"/>
      <c r="W1465" s="1462"/>
      <c r="X1465" s="1462"/>
      <c r="Y1465" s="1462"/>
    </row>
    <row r="1466" spans="1:25" x14ac:dyDescent="0.3">
      <c r="A1466" s="2294"/>
      <c r="B1466" s="2294"/>
      <c r="C1466" s="2294"/>
      <c r="D1466" s="2294"/>
      <c r="E1466" s="1461"/>
      <c r="R1466" s="1462"/>
      <c r="S1466" s="1462"/>
      <c r="T1466" s="1462"/>
      <c r="U1466" s="1462"/>
      <c r="V1466" s="1462"/>
      <c r="W1466" s="1462"/>
      <c r="X1466" s="1462"/>
      <c r="Y1466" s="1462"/>
    </row>
    <row r="1467" spans="1:25" x14ac:dyDescent="0.3">
      <c r="A1467" s="2294"/>
      <c r="B1467" s="2294"/>
      <c r="C1467" s="2294"/>
      <c r="D1467" s="2294"/>
      <c r="E1467" s="1461"/>
      <c r="R1467" s="1462"/>
      <c r="S1467" s="1462"/>
      <c r="T1467" s="1462"/>
      <c r="U1467" s="1462"/>
      <c r="V1467" s="1462"/>
      <c r="W1467" s="1462"/>
      <c r="X1467" s="1462"/>
      <c r="Y1467" s="1462"/>
    </row>
    <row r="1468" spans="1:25" x14ac:dyDescent="0.3">
      <c r="A1468" s="2294"/>
      <c r="B1468" s="2294"/>
      <c r="C1468" s="2294"/>
      <c r="D1468" s="2294"/>
      <c r="E1468" s="1461"/>
      <c r="R1468" s="1462"/>
      <c r="S1468" s="1462"/>
      <c r="T1468" s="1462"/>
      <c r="U1468" s="1462"/>
      <c r="V1468" s="1462"/>
      <c r="W1468" s="1462"/>
      <c r="X1468" s="1462"/>
      <c r="Y1468" s="1462"/>
    </row>
    <row r="1469" spans="1:25" x14ac:dyDescent="0.3">
      <c r="A1469" s="2294"/>
      <c r="B1469" s="2294"/>
      <c r="C1469" s="2294"/>
      <c r="D1469" s="2294"/>
      <c r="E1469" s="1461"/>
      <c r="R1469" s="1462"/>
      <c r="S1469" s="1462"/>
      <c r="T1469" s="1462"/>
      <c r="U1469" s="1462"/>
      <c r="V1469" s="1462"/>
      <c r="W1469" s="1462"/>
      <c r="X1469" s="1462"/>
      <c r="Y1469" s="1462"/>
    </row>
    <row r="1470" spans="1:25" x14ac:dyDescent="0.3">
      <c r="A1470" s="2294"/>
      <c r="B1470" s="2294"/>
      <c r="C1470" s="2294"/>
      <c r="D1470" s="2294"/>
      <c r="E1470" s="1461"/>
      <c r="R1470" s="1462"/>
      <c r="S1470" s="1462"/>
      <c r="T1470" s="1462"/>
      <c r="U1470" s="1462"/>
      <c r="V1470" s="1462"/>
      <c r="W1470" s="1462"/>
      <c r="X1470" s="1462"/>
      <c r="Y1470" s="1462"/>
    </row>
    <row r="1471" spans="1:25" x14ac:dyDescent="0.3">
      <c r="A1471" s="2294"/>
      <c r="B1471" s="2294"/>
      <c r="C1471" s="2294"/>
      <c r="D1471" s="2294"/>
      <c r="E1471" s="1461"/>
      <c r="R1471" s="1462"/>
      <c r="S1471" s="1462"/>
      <c r="T1471" s="1462"/>
      <c r="U1471" s="1462"/>
      <c r="V1471" s="1462"/>
      <c r="W1471" s="1462"/>
      <c r="X1471" s="1462"/>
      <c r="Y1471" s="1462"/>
    </row>
    <row r="1472" spans="1:25" x14ac:dyDescent="0.3">
      <c r="A1472" s="2294"/>
      <c r="B1472" s="2294"/>
      <c r="C1472" s="2294"/>
      <c r="D1472" s="2294"/>
      <c r="E1472" s="1461"/>
      <c r="R1472" s="1462"/>
      <c r="S1472" s="1462"/>
      <c r="T1472" s="1462"/>
      <c r="U1472" s="1462"/>
      <c r="V1472" s="1462"/>
      <c r="W1472" s="1462"/>
      <c r="X1472" s="1462"/>
      <c r="Y1472" s="1462"/>
    </row>
    <row r="1473" spans="1:25" x14ac:dyDescent="0.3">
      <c r="A1473" s="2294"/>
      <c r="B1473" s="2294"/>
      <c r="C1473" s="2294"/>
      <c r="D1473" s="2294"/>
      <c r="E1473" s="1461"/>
      <c r="R1473" s="1462"/>
      <c r="S1473" s="1462"/>
      <c r="T1473" s="1462"/>
      <c r="U1473" s="1462"/>
      <c r="V1473" s="1462"/>
      <c r="W1473" s="1462"/>
      <c r="X1473" s="1462"/>
      <c r="Y1473" s="1462"/>
    </row>
    <row r="1474" spans="1:25" x14ac:dyDescent="0.3">
      <c r="A1474" s="2294"/>
      <c r="B1474" s="2294"/>
      <c r="C1474" s="2294"/>
      <c r="D1474" s="2294"/>
      <c r="E1474" s="1461"/>
      <c r="R1474" s="1462"/>
      <c r="S1474" s="1462"/>
      <c r="T1474" s="1462"/>
      <c r="U1474" s="1462"/>
      <c r="V1474" s="1462"/>
      <c r="W1474" s="1462"/>
      <c r="X1474" s="1462"/>
      <c r="Y1474" s="1462"/>
    </row>
    <row r="1475" spans="1:25" x14ac:dyDescent="0.3">
      <c r="A1475" s="2294"/>
      <c r="B1475" s="2294"/>
      <c r="C1475" s="2294"/>
      <c r="D1475" s="2294"/>
      <c r="E1475" s="1461"/>
      <c r="R1475" s="1462"/>
      <c r="S1475" s="1462"/>
      <c r="T1475" s="1462"/>
      <c r="U1475" s="1462"/>
      <c r="V1475" s="1462"/>
      <c r="W1475" s="1462"/>
      <c r="X1475" s="1462"/>
      <c r="Y1475" s="1462"/>
    </row>
    <row r="1476" spans="1:25" x14ac:dyDescent="0.3">
      <c r="A1476" s="2294"/>
      <c r="B1476" s="2294"/>
      <c r="C1476" s="2294"/>
      <c r="D1476" s="2294"/>
      <c r="E1476" s="1461"/>
      <c r="R1476" s="1462"/>
      <c r="S1476" s="1462"/>
      <c r="T1476" s="1462"/>
      <c r="U1476" s="1462"/>
      <c r="V1476" s="1462"/>
      <c r="W1476" s="1462"/>
      <c r="X1476" s="1462"/>
      <c r="Y1476" s="1462"/>
    </row>
    <row r="1477" spans="1:25" x14ac:dyDescent="0.3">
      <c r="A1477" s="2294"/>
      <c r="B1477" s="2294"/>
      <c r="C1477" s="2294"/>
      <c r="D1477" s="2294"/>
      <c r="E1477" s="1461"/>
      <c r="R1477" s="1462"/>
      <c r="S1477" s="1462"/>
      <c r="T1477" s="1462"/>
      <c r="U1477" s="1462"/>
      <c r="V1477" s="1462"/>
      <c r="W1477" s="1462"/>
      <c r="X1477" s="1462"/>
      <c r="Y1477" s="1462"/>
    </row>
    <row r="1478" spans="1:25" x14ac:dyDescent="0.3">
      <c r="A1478" s="2294"/>
      <c r="B1478" s="2294"/>
      <c r="C1478" s="2294"/>
      <c r="D1478" s="2294"/>
      <c r="E1478" s="1461"/>
      <c r="R1478" s="1462"/>
      <c r="S1478" s="1462"/>
      <c r="T1478" s="1462"/>
      <c r="U1478" s="1462"/>
      <c r="V1478" s="1462"/>
      <c r="W1478" s="1462"/>
      <c r="X1478" s="1462"/>
      <c r="Y1478" s="1462"/>
    </row>
    <row r="1479" spans="1:25" x14ac:dyDescent="0.3">
      <c r="A1479" s="2294"/>
      <c r="B1479" s="2294"/>
      <c r="C1479" s="2294"/>
      <c r="D1479" s="2294"/>
      <c r="E1479" s="1461"/>
      <c r="R1479" s="1462"/>
      <c r="S1479" s="1462"/>
      <c r="T1479" s="1462"/>
      <c r="U1479" s="1462"/>
      <c r="V1479" s="1462"/>
      <c r="W1479" s="1462"/>
      <c r="X1479" s="1462"/>
      <c r="Y1479" s="1462"/>
    </row>
    <row r="1480" spans="1:25" x14ac:dyDescent="0.3">
      <c r="A1480" s="2294"/>
      <c r="B1480" s="2294"/>
      <c r="C1480" s="2294"/>
      <c r="D1480" s="2294"/>
      <c r="E1480" s="1461"/>
      <c r="R1480" s="1462"/>
      <c r="S1480" s="1462"/>
      <c r="T1480" s="1462"/>
      <c r="U1480" s="1462"/>
      <c r="V1480" s="1462"/>
      <c r="W1480" s="1462"/>
      <c r="X1480" s="1462"/>
      <c r="Y1480" s="1462"/>
    </row>
    <row r="1481" spans="1:25" x14ac:dyDescent="0.3">
      <c r="A1481" s="2294"/>
      <c r="B1481" s="2294"/>
      <c r="C1481" s="2294"/>
      <c r="D1481" s="2294"/>
      <c r="E1481" s="1461"/>
      <c r="R1481" s="1462"/>
      <c r="S1481" s="1462"/>
      <c r="T1481" s="1462"/>
      <c r="U1481" s="1462"/>
      <c r="V1481" s="1462"/>
      <c r="W1481" s="1462"/>
      <c r="X1481" s="1462"/>
      <c r="Y1481" s="1462"/>
    </row>
    <row r="1482" spans="1:25" x14ac:dyDescent="0.3">
      <c r="A1482" s="2294"/>
      <c r="B1482" s="2294"/>
      <c r="C1482" s="2294"/>
      <c r="D1482" s="2294"/>
      <c r="E1482" s="1461"/>
      <c r="R1482" s="1462"/>
      <c r="S1482" s="1462"/>
      <c r="T1482" s="1462"/>
      <c r="U1482" s="1462"/>
      <c r="V1482" s="1462"/>
      <c r="W1482" s="1462"/>
      <c r="X1482" s="1462"/>
      <c r="Y1482" s="1462"/>
    </row>
    <row r="1483" spans="1:25" x14ac:dyDescent="0.3">
      <c r="A1483" s="2294"/>
      <c r="B1483" s="2294"/>
      <c r="C1483" s="2294"/>
      <c r="D1483" s="2294"/>
      <c r="E1483" s="1461"/>
      <c r="R1483" s="1462"/>
      <c r="S1483" s="1462"/>
      <c r="T1483" s="1462"/>
      <c r="U1483" s="1462"/>
      <c r="V1483" s="1462"/>
      <c r="W1483" s="1462"/>
      <c r="X1483" s="1462"/>
      <c r="Y1483" s="1462"/>
    </row>
    <row r="1484" spans="1:25" x14ac:dyDescent="0.3">
      <c r="A1484" s="2294"/>
      <c r="B1484" s="2294"/>
      <c r="C1484" s="2294"/>
      <c r="D1484" s="2294"/>
      <c r="E1484" s="1461"/>
      <c r="R1484" s="1462"/>
      <c r="S1484" s="1462"/>
      <c r="T1484" s="1462"/>
      <c r="U1484" s="1462"/>
      <c r="V1484" s="1462"/>
      <c r="W1484" s="1462"/>
      <c r="X1484" s="1462"/>
      <c r="Y1484" s="1462"/>
    </row>
    <row r="1485" spans="1:25" x14ac:dyDescent="0.3">
      <c r="A1485" s="2294"/>
      <c r="B1485" s="2294"/>
      <c r="C1485" s="2294"/>
      <c r="D1485" s="2294"/>
      <c r="E1485" s="1461"/>
      <c r="R1485" s="1462"/>
      <c r="S1485" s="1462"/>
      <c r="T1485" s="1462"/>
      <c r="U1485" s="1462"/>
      <c r="V1485" s="1462"/>
      <c r="W1485" s="1462"/>
      <c r="X1485" s="1462"/>
      <c r="Y1485" s="1462"/>
    </row>
    <row r="1486" spans="1:25" x14ac:dyDescent="0.3">
      <c r="A1486" s="2294"/>
      <c r="B1486" s="2294"/>
      <c r="C1486" s="2294"/>
      <c r="D1486" s="2294"/>
      <c r="E1486" s="1461"/>
      <c r="R1486" s="1462"/>
      <c r="S1486" s="1462"/>
      <c r="T1486" s="1462"/>
      <c r="U1486" s="1462"/>
      <c r="V1486" s="1462"/>
      <c r="W1486" s="1462"/>
      <c r="X1486" s="1462"/>
      <c r="Y1486" s="1462"/>
    </row>
    <row r="1487" spans="1:25" x14ac:dyDescent="0.3">
      <c r="A1487" s="2294"/>
      <c r="B1487" s="2294"/>
      <c r="C1487" s="2294"/>
      <c r="D1487" s="2294"/>
      <c r="E1487" s="1461"/>
      <c r="R1487" s="1462"/>
      <c r="S1487" s="1462"/>
      <c r="T1487" s="1462"/>
      <c r="U1487" s="1462"/>
      <c r="V1487" s="1462"/>
      <c r="W1487" s="1462"/>
      <c r="X1487" s="1462"/>
      <c r="Y1487" s="1462"/>
    </row>
    <row r="1488" spans="1:25" x14ac:dyDescent="0.3">
      <c r="A1488" s="2294"/>
      <c r="B1488" s="2294"/>
      <c r="C1488" s="2294"/>
      <c r="D1488" s="2294"/>
      <c r="E1488" s="1461"/>
      <c r="R1488" s="1462"/>
      <c r="S1488" s="1462"/>
      <c r="T1488" s="1462"/>
      <c r="U1488" s="1462"/>
      <c r="V1488" s="1462"/>
      <c r="W1488" s="1462"/>
      <c r="X1488" s="1462"/>
      <c r="Y1488" s="1462"/>
    </row>
    <row r="1489" spans="1:25" x14ac:dyDescent="0.3">
      <c r="A1489" s="2294"/>
      <c r="B1489" s="2294"/>
      <c r="C1489" s="2294"/>
      <c r="D1489" s="2294"/>
      <c r="E1489" s="1461"/>
      <c r="R1489" s="1462"/>
      <c r="S1489" s="1462"/>
      <c r="T1489" s="1462"/>
      <c r="U1489" s="1462"/>
      <c r="V1489" s="1462"/>
      <c r="W1489" s="1462"/>
      <c r="X1489" s="1462"/>
      <c r="Y1489" s="1462"/>
    </row>
    <row r="1490" spans="1:25" x14ac:dyDescent="0.3">
      <c r="A1490" s="2294"/>
      <c r="B1490" s="2294"/>
      <c r="C1490" s="2294"/>
      <c r="D1490" s="2294"/>
      <c r="E1490" s="1461"/>
      <c r="R1490" s="1462"/>
      <c r="S1490" s="1462"/>
      <c r="T1490" s="1462"/>
      <c r="U1490" s="1462"/>
      <c r="V1490" s="1462"/>
      <c r="W1490" s="1462"/>
      <c r="X1490" s="1462"/>
      <c r="Y1490" s="1462"/>
    </row>
    <row r="1491" spans="1:25" x14ac:dyDescent="0.3">
      <c r="A1491" s="2294"/>
      <c r="B1491" s="2294"/>
      <c r="C1491" s="2294"/>
      <c r="D1491" s="2294"/>
      <c r="E1491" s="1461"/>
      <c r="R1491" s="1462"/>
      <c r="S1491" s="1462"/>
      <c r="T1491" s="1462"/>
      <c r="U1491" s="1462"/>
      <c r="V1491" s="1462"/>
      <c r="W1491" s="1462"/>
      <c r="X1491" s="1462"/>
      <c r="Y1491" s="1462"/>
    </row>
    <row r="1492" spans="1:25" x14ac:dyDescent="0.3">
      <c r="A1492" s="2294"/>
      <c r="B1492" s="2294"/>
      <c r="C1492" s="2294"/>
      <c r="D1492" s="2294"/>
      <c r="E1492" s="1461"/>
      <c r="R1492" s="1462"/>
      <c r="S1492" s="1462"/>
      <c r="T1492" s="1462"/>
      <c r="U1492" s="1462"/>
      <c r="V1492" s="1462"/>
      <c r="W1492" s="1462"/>
      <c r="X1492" s="1462"/>
      <c r="Y1492" s="1462"/>
    </row>
    <row r="1493" spans="1:25" x14ac:dyDescent="0.3">
      <c r="A1493" s="2294"/>
      <c r="B1493" s="2294"/>
      <c r="C1493" s="2294"/>
      <c r="D1493" s="2294"/>
      <c r="E1493" s="1461"/>
      <c r="R1493" s="1462"/>
      <c r="S1493" s="1462"/>
      <c r="T1493" s="1462"/>
      <c r="U1493" s="1462"/>
      <c r="V1493" s="1462"/>
      <c r="W1493" s="1462"/>
      <c r="X1493" s="1462"/>
      <c r="Y1493" s="1462"/>
    </row>
    <row r="1494" spans="1:25" x14ac:dyDescent="0.3">
      <c r="A1494" s="2294"/>
      <c r="B1494" s="2294"/>
      <c r="C1494" s="2294"/>
      <c r="D1494" s="2294"/>
      <c r="E1494" s="1461"/>
      <c r="R1494" s="1462"/>
      <c r="S1494" s="1462"/>
      <c r="T1494" s="1462"/>
      <c r="U1494" s="1462"/>
      <c r="V1494" s="1462"/>
      <c r="W1494" s="1462"/>
      <c r="X1494" s="1462"/>
      <c r="Y1494" s="1462"/>
    </row>
    <row r="1495" spans="1:25" x14ac:dyDescent="0.3">
      <c r="A1495" s="2294"/>
      <c r="B1495" s="2294"/>
      <c r="C1495" s="2294"/>
      <c r="D1495" s="2294"/>
      <c r="E1495" s="1461"/>
      <c r="R1495" s="1462"/>
      <c r="S1495" s="1462"/>
      <c r="T1495" s="1462"/>
      <c r="U1495" s="1462"/>
      <c r="V1495" s="1462"/>
      <c r="W1495" s="1462"/>
      <c r="X1495" s="1462"/>
      <c r="Y1495" s="1462"/>
    </row>
    <row r="1496" spans="1:25" x14ac:dyDescent="0.3">
      <c r="A1496" s="2294"/>
      <c r="B1496" s="2294"/>
      <c r="C1496" s="2294"/>
      <c r="D1496" s="2294"/>
      <c r="E1496" s="1461"/>
      <c r="R1496" s="1462"/>
      <c r="S1496" s="1462"/>
      <c r="T1496" s="1462"/>
      <c r="U1496" s="1462"/>
      <c r="V1496" s="1462"/>
      <c r="W1496" s="1462"/>
      <c r="X1496" s="1462"/>
      <c r="Y1496" s="1462"/>
    </row>
    <row r="1497" spans="1:25" x14ac:dyDescent="0.3">
      <c r="A1497" s="2294"/>
      <c r="B1497" s="2294"/>
      <c r="C1497" s="2294"/>
      <c r="D1497" s="2294"/>
      <c r="E1497" s="1461"/>
      <c r="R1497" s="1462"/>
      <c r="S1497" s="1462"/>
      <c r="T1497" s="1462"/>
      <c r="U1497" s="1462"/>
      <c r="V1497" s="1462"/>
      <c r="W1497" s="1462"/>
      <c r="X1497" s="1462"/>
      <c r="Y1497" s="1462"/>
    </row>
    <row r="1498" spans="1:25" x14ac:dyDescent="0.3">
      <c r="A1498" s="2294"/>
      <c r="B1498" s="2294"/>
      <c r="C1498" s="2294"/>
      <c r="D1498" s="2294"/>
      <c r="E1498" s="1461"/>
      <c r="R1498" s="1462"/>
      <c r="S1498" s="1462"/>
      <c r="T1498" s="1462"/>
      <c r="U1498" s="1462"/>
      <c r="V1498" s="1462"/>
      <c r="W1498" s="1462"/>
      <c r="X1498" s="1462"/>
      <c r="Y1498" s="1462"/>
    </row>
    <row r="1499" spans="1:25" x14ac:dyDescent="0.3">
      <c r="A1499" s="2294"/>
      <c r="B1499" s="2294"/>
      <c r="C1499" s="2294"/>
      <c r="D1499" s="2294"/>
      <c r="E1499" s="1461"/>
      <c r="R1499" s="1462"/>
      <c r="S1499" s="1462"/>
      <c r="T1499" s="1462"/>
      <c r="U1499" s="1462"/>
      <c r="V1499" s="1462"/>
      <c r="W1499" s="1462"/>
      <c r="X1499" s="1462"/>
      <c r="Y1499" s="1462"/>
    </row>
    <row r="1500" spans="1:25" x14ac:dyDescent="0.3">
      <c r="A1500" s="2294"/>
      <c r="B1500" s="2294"/>
      <c r="C1500" s="2294"/>
      <c r="D1500" s="2294"/>
      <c r="E1500" s="1461"/>
      <c r="R1500" s="1462"/>
      <c r="S1500" s="1462"/>
      <c r="T1500" s="1462"/>
      <c r="U1500" s="1462"/>
      <c r="V1500" s="1462"/>
      <c r="W1500" s="1462"/>
      <c r="X1500" s="1462"/>
      <c r="Y1500" s="1462"/>
    </row>
    <row r="1501" spans="1:25" x14ac:dyDescent="0.3">
      <c r="A1501" s="2294"/>
      <c r="B1501" s="2294"/>
      <c r="C1501" s="2294"/>
      <c r="D1501" s="2294"/>
      <c r="E1501" s="1461"/>
      <c r="R1501" s="1462"/>
      <c r="S1501" s="1462"/>
      <c r="T1501" s="1462"/>
      <c r="U1501" s="1462"/>
      <c r="V1501" s="1462"/>
      <c r="W1501" s="1462"/>
      <c r="X1501" s="1462"/>
      <c r="Y1501" s="1462"/>
    </row>
    <row r="1502" spans="1:25" x14ac:dyDescent="0.3">
      <c r="A1502" s="2294"/>
      <c r="B1502" s="2294"/>
      <c r="C1502" s="2294"/>
      <c r="D1502" s="2294"/>
      <c r="E1502" s="1461"/>
      <c r="R1502" s="1462"/>
      <c r="S1502" s="1462"/>
      <c r="T1502" s="1462"/>
      <c r="U1502" s="1462"/>
      <c r="V1502" s="1462"/>
      <c r="W1502" s="1462"/>
      <c r="X1502" s="1462"/>
      <c r="Y1502" s="1462"/>
    </row>
    <row r="1503" spans="1:25" x14ac:dyDescent="0.3">
      <c r="A1503" s="2294"/>
      <c r="B1503" s="2294"/>
      <c r="C1503" s="2294"/>
      <c r="D1503" s="2294"/>
      <c r="E1503" s="1461"/>
      <c r="R1503" s="1462"/>
      <c r="S1503" s="1462"/>
      <c r="T1503" s="1462"/>
      <c r="U1503" s="1462"/>
      <c r="V1503" s="1462"/>
      <c r="W1503" s="1462"/>
      <c r="X1503" s="1462"/>
      <c r="Y1503" s="1462"/>
    </row>
    <row r="1504" spans="1:25" x14ac:dyDescent="0.3">
      <c r="A1504" s="2294"/>
      <c r="B1504" s="2294"/>
      <c r="C1504" s="2294"/>
      <c r="D1504" s="2294"/>
      <c r="E1504" s="1461"/>
      <c r="R1504" s="1462"/>
      <c r="S1504" s="1462"/>
      <c r="T1504" s="1462"/>
      <c r="U1504" s="1462"/>
      <c r="V1504" s="1462"/>
      <c r="W1504" s="1462"/>
      <c r="X1504" s="1462"/>
      <c r="Y1504" s="1462"/>
    </row>
    <row r="1505" spans="1:25" x14ac:dyDescent="0.3">
      <c r="A1505" s="2294"/>
      <c r="B1505" s="2294"/>
      <c r="C1505" s="2294"/>
      <c r="D1505" s="2294"/>
      <c r="E1505" s="1461"/>
      <c r="R1505" s="1462"/>
      <c r="S1505" s="1462"/>
      <c r="T1505" s="1462"/>
      <c r="U1505" s="1462"/>
      <c r="V1505" s="1462"/>
      <c r="W1505" s="1462"/>
      <c r="X1505" s="1462"/>
      <c r="Y1505" s="1462"/>
    </row>
    <row r="1506" spans="1:25" x14ac:dyDescent="0.3">
      <c r="A1506" s="2294"/>
      <c r="B1506" s="2294"/>
      <c r="C1506" s="2294"/>
      <c r="D1506" s="2294"/>
      <c r="E1506" s="1461"/>
      <c r="R1506" s="1462"/>
      <c r="S1506" s="1462"/>
      <c r="T1506" s="1462"/>
      <c r="U1506" s="1462"/>
      <c r="V1506" s="1462"/>
      <c r="W1506" s="1462"/>
      <c r="X1506" s="1462"/>
      <c r="Y1506" s="1462"/>
    </row>
    <row r="1507" spans="1:25" x14ac:dyDescent="0.3">
      <c r="A1507" s="2294"/>
      <c r="B1507" s="2294"/>
      <c r="C1507" s="2294"/>
      <c r="D1507" s="2294"/>
      <c r="E1507" s="1461"/>
      <c r="R1507" s="1462"/>
      <c r="S1507" s="1462"/>
      <c r="T1507" s="1462"/>
      <c r="U1507" s="1462"/>
      <c r="V1507" s="1462"/>
      <c r="W1507" s="1462"/>
      <c r="X1507" s="1462"/>
      <c r="Y1507" s="1462"/>
    </row>
    <row r="1508" spans="1:25" x14ac:dyDescent="0.3">
      <c r="A1508" s="2294"/>
      <c r="B1508" s="2294"/>
      <c r="C1508" s="2294"/>
      <c r="D1508" s="2294"/>
      <c r="E1508" s="1461"/>
      <c r="R1508" s="1462"/>
      <c r="S1508" s="1462"/>
      <c r="T1508" s="1462"/>
      <c r="U1508" s="1462"/>
      <c r="V1508" s="1462"/>
      <c r="W1508" s="1462"/>
      <c r="X1508" s="1462"/>
      <c r="Y1508" s="1462"/>
    </row>
    <row r="1509" spans="1:25" x14ac:dyDescent="0.3">
      <c r="A1509" s="2294"/>
      <c r="B1509" s="2294"/>
      <c r="C1509" s="2294"/>
      <c r="D1509" s="2294"/>
      <c r="E1509" s="1461"/>
      <c r="R1509" s="1462"/>
      <c r="S1509" s="1462"/>
      <c r="T1509" s="1462"/>
      <c r="U1509" s="1462"/>
      <c r="V1509" s="1462"/>
      <c r="W1509" s="1462"/>
      <c r="X1509" s="1462"/>
      <c r="Y1509" s="1462"/>
    </row>
    <row r="1510" spans="1:25" x14ac:dyDescent="0.3">
      <c r="A1510" s="2294"/>
      <c r="B1510" s="2294"/>
      <c r="C1510" s="2294"/>
      <c r="D1510" s="2294"/>
      <c r="E1510" s="1461"/>
      <c r="R1510" s="1462"/>
      <c r="S1510" s="1462"/>
      <c r="T1510" s="1462"/>
      <c r="U1510" s="1462"/>
      <c r="V1510" s="1462"/>
      <c r="W1510" s="1462"/>
      <c r="X1510" s="1462"/>
      <c r="Y1510" s="1462"/>
    </row>
    <row r="1511" spans="1:25" x14ac:dyDescent="0.3">
      <c r="A1511" s="2294"/>
      <c r="B1511" s="2294"/>
      <c r="C1511" s="2294"/>
      <c r="D1511" s="2294"/>
      <c r="E1511" s="1461"/>
      <c r="R1511" s="1462"/>
      <c r="S1511" s="1462"/>
      <c r="T1511" s="1462"/>
      <c r="U1511" s="1462"/>
      <c r="V1511" s="1462"/>
      <c r="W1511" s="1462"/>
      <c r="X1511" s="1462"/>
      <c r="Y1511" s="1462"/>
    </row>
    <row r="1512" spans="1:25" x14ac:dyDescent="0.3">
      <c r="A1512" s="2294"/>
      <c r="B1512" s="2294"/>
      <c r="C1512" s="2294"/>
      <c r="D1512" s="2294"/>
      <c r="E1512" s="1461"/>
      <c r="R1512" s="1462"/>
      <c r="S1512" s="1462"/>
      <c r="T1512" s="1462"/>
      <c r="U1512" s="1462"/>
      <c r="V1512" s="1462"/>
      <c r="W1512" s="1462"/>
      <c r="X1512" s="1462"/>
      <c r="Y1512" s="1462"/>
    </row>
    <row r="1513" spans="1:25" x14ac:dyDescent="0.3">
      <c r="A1513" s="2294"/>
      <c r="B1513" s="2294"/>
      <c r="C1513" s="2294"/>
      <c r="D1513" s="2294"/>
      <c r="E1513" s="1461"/>
      <c r="R1513" s="1462"/>
      <c r="S1513" s="1462"/>
      <c r="T1513" s="1462"/>
      <c r="U1513" s="1462"/>
      <c r="V1513" s="1462"/>
      <c r="W1513" s="1462"/>
      <c r="X1513" s="1462"/>
      <c r="Y1513" s="1462"/>
    </row>
    <row r="1514" spans="1:25" x14ac:dyDescent="0.3">
      <c r="A1514" s="2294"/>
      <c r="B1514" s="2294"/>
      <c r="C1514" s="2294"/>
      <c r="D1514" s="2294"/>
      <c r="E1514" s="1461"/>
      <c r="R1514" s="1462"/>
      <c r="S1514" s="1462"/>
      <c r="T1514" s="1462"/>
      <c r="U1514" s="1462"/>
      <c r="V1514" s="1462"/>
      <c r="W1514" s="1462"/>
      <c r="X1514" s="1462"/>
      <c r="Y1514" s="1462"/>
    </row>
    <row r="1515" spans="1:25" x14ac:dyDescent="0.3">
      <c r="A1515" s="2294"/>
      <c r="B1515" s="2294"/>
      <c r="C1515" s="2294"/>
      <c r="D1515" s="2294"/>
      <c r="E1515" s="1461"/>
      <c r="R1515" s="1462"/>
      <c r="S1515" s="1462"/>
      <c r="T1515" s="1462"/>
      <c r="U1515" s="1462"/>
      <c r="V1515" s="1462"/>
      <c r="W1515" s="1462"/>
      <c r="X1515" s="1462"/>
      <c r="Y1515" s="1462"/>
    </row>
    <row r="1516" spans="1:25" x14ac:dyDescent="0.3">
      <c r="A1516" s="2294"/>
      <c r="B1516" s="2294"/>
      <c r="C1516" s="2294"/>
      <c r="D1516" s="2294"/>
      <c r="E1516" s="1461"/>
      <c r="R1516" s="1462"/>
      <c r="S1516" s="1462"/>
      <c r="T1516" s="1462"/>
      <c r="U1516" s="1462"/>
      <c r="V1516" s="1462"/>
      <c r="W1516" s="1462"/>
      <c r="X1516" s="1462"/>
      <c r="Y1516" s="1462"/>
    </row>
    <row r="1517" spans="1:25" x14ac:dyDescent="0.3">
      <c r="A1517" s="2294"/>
      <c r="B1517" s="2294"/>
      <c r="C1517" s="2294"/>
      <c r="D1517" s="2294"/>
      <c r="E1517" s="1461"/>
      <c r="R1517" s="1462"/>
      <c r="S1517" s="1462"/>
      <c r="T1517" s="1462"/>
      <c r="U1517" s="1462"/>
      <c r="V1517" s="1462"/>
      <c r="W1517" s="1462"/>
      <c r="X1517" s="1462"/>
      <c r="Y1517" s="1462"/>
    </row>
    <row r="1518" spans="1:25" x14ac:dyDescent="0.3">
      <c r="A1518" s="2294"/>
      <c r="B1518" s="2294"/>
      <c r="C1518" s="2294"/>
      <c r="D1518" s="2294"/>
      <c r="E1518" s="1461"/>
      <c r="R1518" s="1462"/>
      <c r="S1518" s="1462"/>
      <c r="T1518" s="1462"/>
      <c r="U1518" s="1462"/>
      <c r="V1518" s="1462"/>
      <c r="W1518" s="1462"/>
      <c r="X1518" s="1462"/>
      <c r="Y1518" s="1462"/>
    </row>
    <row r="1519" spans="1:25" x14ac:dyDescent="0.3">
      <c r="A1519" s="2294"/>
      <c r="B1519" s="2294"/>
      <c r="C1519" s="2294"/>
      <c r="D1519" s="2294"/>
      <c r="E1519" s="1461"/>
      <c r="R1519" s="1462"/>
      <c r="S1519" s="1462"/>
      <c r="T1519" s="1462"/>
      <c r="U1519" s="1462"/>
      <c r="V1519" s="1462"/>
      <c r="W1519" s="1462"/>
      <c r="X1519" s="1462"/>
      <c r="Y1519" s="1462"/>
    </row>
    <row r="1520" spans="1:25" x14ac:dyDescent="0.3">
      <c r="A1520" s="2294"/>
      <c r="B1520" s="2294"/>
      <c r="C1520" s="2294"/>
      <c r="D1520" s="2294"/>
      <c r="E1520" s="1461"/>
      <c r="R1520" s="1462"/>
      <c r="S1520" s="1462"/>
      <c r="T1520" s="1462"/>
      <c r="U1520" s="1462"/>
      <c r="V1520" s="1462"/>
      <c r="W1520" s="1462"/>
      <c r="X1520" s="1462"/>
      <c r="Y1520" s="1462"/>
    </row>
    <row r="1521" spans="1:25" x14ac:dyDescent="0.3">
      <c r="A1521" s="2294"/>
      <c r="B1521" s="2294"/>
      <c r="C1521" s="2294"/>
      <c r="D1521" s="2294"/>
      <c r="E1521" s="1461"/>
      <c r="R1521" s="1462"/>
      <c r="S1521" s="1462"/>
      <c r="T1521" s="1462"/>
      <c r="U1521" s="1462"/>
      <c r="V1521" s="1462"/>
      <c r="W1521" s="1462"/>
      <c r="X1521" s="1462"/>
      <c r="Y1521" s="1462"/>
    </row>
    <row r="1522" spans="1:25" x14ac:dyDescent="0.3">
      <c r="A1522" s="2294"/>
      <c r="B1522" s="2294"/>
      <c r="C1522" s="2294"/>
      <c r="D1522" s="2294"/>
      <c r="E1522" s="1461"/>
      <c r="R1522" s="1462"/>
      <c r="S1522" s="1462"/>
      <c r="T1522" s="1462"/>
      <c r="U1522" s="1462"/>
      <c r="V1522" s="1462"/>
      <c r="W1522" s="1462"/>
      <c r="X1522" s="1462"/>
      <c r="Y1522" s="1462"/>
    </row>
    <row r="1523" spans="1:25" x14ac:dyDescent="0.3">
      <c r="A1523" s="2294"/>
      <c r="B1523" s="2294"/>
      <c r="C1523" s="2294"/>
      <c r="D1523" s="2294"/>
      <c r="E1523" s="1461"/>
      <c r="R1523" s="1462"/>
      <c r="S1523" s="1462"/>
      <c r="T1523" s="1462"/>
      <c r="U1523" s="1462"/>
      <c r="V1523" s="1462"/>
      <c r="W1523" s="1462"/>
      <c r="X1523" s="1462"/>
      <c r="Y1523" s="1462"/>
    </row>
    <row r="1524" spans="1:25" x14ac:dyDescent="0.3">
      <c r="A1524" s="2294"/>
      <c r="B1524" s="2294"/>
      <c r="C1524" s="2294"/>
      <c r="D1524" s="2294"/>
      <c r="E1524" s="1461"/>
      <c r="R1524" s="1462"/>
      <c r="S1524" s="1462"/>
      <c r="T1524" s="1462"/>
      <c r="U1524" s="1462"/>
      <c r="V1524" s="1462"/>
      <c r="W1524" s="1462"/>
      <c r="X1524" s="1462"/>
      <c r="Y1524" s="1462"/>
    </row>
    <row r="1525" spans="1:25" x14ac:dyDescent="0.3">
      <c r="A1525" s="2294"/>
      <c r="B1525" s="2294"/>
      <c r="C1525" s="2294"/>
      <c r="D1525" s="2294"/>
      <c r="E1525" s="1461"/>
      <c r="R1525" s="1462"/>
      <c r="S1525" s="1462"/>
      <c r="T1525" s="1462"/>
      <c r="U1525" s="1462"/>
      <c r="V1525" s="1462"/>
      <c r="W1525" s="1462"/>
      <c r="X1525" s="1462"/>
      <c r="Y1525" s="1462"/>
    </row>
    <row r="1526" spans="1:25" x14ac:dyDescent="0.3">
      <c r="A1526" s="2294"/>
      <c r="B1526" s="2294"/>
      <c r="C1526" s="2294"/>
      <c r="D1526" s="2294"/>
      <c r="E1526" s="1461"/>
      <c r="R1526" s="1462"/>
      <c r="S1526" s="1462"/>
      <c r="T1526" s="1462"/>
      <c r="U1526" s="1462"/>
      <c r="V1526" s="1462"/>
      <c r="W1526" s="1462"/>
      <c r="X1526" s="1462"/>
      <c r="Y1526" s="1462"/>
    </row>
    <row r="1527" spans="1:25" x14ac:dyDescent="0.3">
      <c r="E1527" s="1461"/>
      <c r="R1527" s="1462"/>
      <c r="S1527" s="1462"/>
      <c r="T1527" s="1462"/>
      <c r="U1527" s="1462"/>
      <c r="V1527" s="1462"/>
      <c r="W1527" s="1462"/>
      <c r="X1527" s="1462"/>
      <c r="Y1527" s="1462"/>
    </row>
    <row r="1528" spans="1:25" x14ac:dyDescent="0.3">
      <c r="E1528" s="1461"/>
      <c r="R1528" s="1462"/>
      <c r="S1528" s="1462"/>
      <c r="T1528" s="1462"/>
      <c r="U1528" s="1462"/>
      <c r="V1528" s="1462"/>
      <c r="W1528" s="1462"/>
      <c r="X1528" s="1462"/>
      <c r="Y1528" s="1462"/>
    </row>
  </sheetData>
  <mergeCells count="21">
    <mergeCell ref="C73:D73"/>
    <mergeCell ref="A38:B38"/>
    <mergeCell ref="C53:D53"/>
    <mergeCell ref="C31:D31"/>
    <mergeCell ref="C45:D45"/>
    <mergeCell ref="A79:B79"/>
    <mergeCell ref="C79:D79"/>
    <mergeCell ref="A67:B67"/>
    <mergeCell ref="A52:B52"/>
    <mergeCell ref="C67:D67"/>
    <mergeCell ref="A45:B45"/>
    <mergeCell ref="C30:D30"/>
    <mergeCell ref="A73:B73"/>
    <mergeCell ref="C38:D38"/>
    <mergeCell ref="C60:D60"/>
    <mergeCell ref="C8:D8"/>
    <mergeCell ref="A14:B14"/>
    <mergeCell ref="A30:B30"/>
    <mergeCell ref="C11:D11"/>
    <mergeCell ref="C13:D13"/>
    <mergeCell ref="C52:D52"/>
  </mergeCells>
  <phoneticPr fontId="2" type="noConversion"/>
  <dataValidations count="2">
    <dataValidation type="whole" allowBlank="1" showInputMessage="1" showErrorMessage="1" sqref="B24:B25 B18:B19">
      <formula1>0</formula1>
      <formula2>9999</formula2>
    </dataValidation>
    <dataValidation type="list" allowBlank="1" showInputMessage="1" showErrorMessage="1" sqref="B5">
      <formula1>$P$4:$P$338</formula1>
    </dataValidation>
  </dataValidations>
  <hyperlinks>
    <hyperlink ref="C6" location="_ftn1" display="¹  Grade in terms of the Remuneration of Public Office Bearers Act."/>
    <hyperlink ref="B72" r:id="rId1"/>
    <hyperlink ref="B36" r:id="rId2"/>
    <hyperlink ref="D36" r:id="rId3"/>
    <hyperlink ref="B43" r:id="rId4"/>
    <hyperlink ref="D43" r:id="rId5"/>
    <hyperlink ref="B50" r:id="rId6"/>
    <hyperlink ref="D50" r:id="rId7"/>
    <hyperlink ref="B10" r:id="rId8"/>
    <hyperlink ref="D65" r:id="rId9"/>
    <hyperlink ref="B78" r:id="rId10"/>
    <hyperlink ref="B58" r:id="rId11"/>
    <hyperlink ref="D58" r:id="rId12"/>
    <hyperlink ref="B65" r:id="rId13"/>
  </hyperlinks>
  <pageMargins left="0.74803149606299213" right="0.27559055118110237" top="0.98425196850393704" bottom="0.98425196850393704" header="0.51181102362204722" footer="0.51181102362204722"/>
  <pageSetup scale="65" orientation="portrait" r:id="rId14"/>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enableFormatConditionsCalculation="0">
    <tabColor indexed="42"/>
    <pageSetUpPr fitToPage="1"/>
  </sheetPr>
  <dimension ref="A1:Q194"/>
  <sheetViews>
    <sheetView showGridLines="0" zoomScaleNormal="100" workbookViewId="0">
      <pane xSplit="3" ySplit="3" topLeftCell="D89" activePane="bottomRight" state="frozen"/>
      <selection pane="topRight"/>
      <selection pane="bottomLeft"/>
      <selection pane="bottomRight" activeCell="P54" sqref="P54"/>
    </sheetView>
  </sheetViews>
  <sheetFormatPr defaultColWidth="9.1796875" defaultRowHeight="10.5" x14ac:dyDescent="0.25"/>
  <cols>
    <col min="1" max="1" width="14.81640625" style="149" customWidth="1"/>
    <col min="2" max="2" width="25.54296875" style="247" customWidth="1"/>
    <col min="3" max="3" width="23.54296875" style="149" customWidth="1"/>
    <col min="4" max="4" width="6.54296875" style="149" bestFit="1" customWidth="1"/>
    <col min="5" max="5" width="4.453125" style="149" customWidth="1"/>
    <col min="6" max="6" width="20.54296875" style="149" customWidth="1"/>
    <col min="7" max="8" width="23.54296875" style="149" customWidth="1"/>
    <col min="9" max="9" width="17.7265625" style="149" customWidth="1"/>
    <col min="10" max="15" width="9.26953125" style="149" customWidth="1"/>
    <col min="16" max="16" width="12.1796875" style="149" customWidth="1"/>
    <col min="17" max="17" width="9.26953125" style="149" customWidth="1"/>
    <col min="18" max="18" width="9.81640625" style="149" customWidth="1"/>
    <col min="19" max="19" width="9.54296875" style="149" customWidth="1"/>
    <col min="20" max="20" width="9.81640625" style="149" customWidth="1"/>
    <col min="21" max="23" width="9.54296875" style="149" customWidth="1"/>
    <col min="24" max="24" width="9.81640625" style="149" customWidth="1"/>
    <col min="25" max="27" width="9.54296875" style="149" customWidth="1"/>
    <col min="28" max="29" width="9.81640625" style="149" customWidth="1"/>
    <col min="30" max="16384" width="9.1796875" style="149"/>
  </cols>
  <sheetData>
    <row r="1" spans="1:17" ht="13.5" customHeight="1" x14ac:dyDescent="0.3">
      <c r="A1" s="147" t="str">
        <f>muni&amp;" - "&amp;TableA36</f>
        <v>KZN225 Msunduzi - Supporting Table SA36 Consolidated detailed capital budget</v>
      </c>
      <c r="B1" s="147"/>
      <c r="C1" s="147"/>
      <c r="D1" s="147"/>
      <c r="E1" s="147"/>
      <c r="F1" s="147"/>
      <c r="G1" s="147"/>
      <c r="H1" s="147"/>
      <c r="I1" s="147"/>
      <c r="J1" s="147"/>
      <c r="K1" s="147"/>
      <c r="L1" s="147"/>
      <c r="M1" s="147"/>
      <c r="N1" s="147"/>
      <c r="O1" s="147"/>
      <c r="P1" s="147"/>
      <c r="Q1" s="147"/>
    </row>
    <row r="2" spans="1:17" ht="33.75" customHeight="1" x14ac:dyDescent="0.25">
      <c r="A2" s="985" t="s">
        <v>965</v>
      </c>
      <c r="B2" s="419" t="str">
        <f>head27</f>
        <v>Ref</v>
      </c>
      <c r="C2" s="2725" t="s">
        <v>1064</v>
      </c>
      <c r="D2" s="2725" t="s">
        <v>1359</v>
      </c>
      <c r="E2" s="2725" t="s">
        <v>1993</v>
      </c>
      <c r="F2" s="2464" t="s">
        <v>2252</v>
      </c>
      <c r="G2" s="2464" t="s">
        <v>2253</v>
      </c>
      <c r="H2" s="2464" t="s">
        <v>2254</v>
      </c>
      <c r="I2" s="2464" t="s">
        <v>2255</v>
      </c>
      <c r="J2" s="2753" t="s">
        <v>1065</v>
      </c>
      <c r="K2" s="2725" t="s">
        <v>1363</v>
      </c>
      <c r="L2" s="2723"/>
      <c r="M2" s="2674" t="str">
        <f>Head3</f>
        <v>2013/14 Medium Term Revenue &amp; Expenditure Framework</v>
      </c>
      <c r="N2" s="2675"/>
      <c r="O2" s="2676"/>
      <c r="P2" s="2751" t="s">
        <v>1361</v>
      </c>
      <c r="Q2" s="2752"/>
    </row>
    <row r="3" spans="1:17" ht="50.25" customHeight="1" x14ac:dyDescent="0.25">
      <c r="A3" s="180" t="s">
        <v>665</v>
      </c>
      <c r="B3" s="2524">
        <v>4</v>
      </c>
      <c r="C3" s="2726"/>
      <c r="D3" s="2726" t="s">
        <v>1789</v>
      </c>
      <c r="E3" s="2726"/>
      <c r="F3" s="390">
        <v>6</v>
      </c>
      <c r="G3" s="390">
        <v>3</v>
      </c>
      <c r="H3" s="390">
        <v>3</v>
      </c>
      <c r="I3" s="390">
        <v>5</v>
      </c>
      <c r="J3" s="2754"/>
      <c r="K3" s="928" t="str">
        <f>Head5&amp;"    "&amp;Head1</f>
        <v>Audited Outcome    2011/12</v>
      </c>
      <c r="L3" s="929" t="str">
        <f>Head2 &amp; "        "&amp;Head8</f>
        <v>Current Year 2012/13        Full Year Forecast</v>
      </c>
      <c r="M3" s="299" t="str">
        <f>Head9</f>
        <v>Budget Year 2013/14</v>
      </c>
      <c r="N3" s="390" t="str">
        <f>Head10</f>
        <v>Budget Year +1 2014/15</v>
      </c>
      <c r="O3" s="391" t="str">
        <f>Head11</f>
        <v>Budget Year +2 2015/16</v>
      </c>
      <c r="P3" s="1007" t="s">
        <v>1362</v>
      </c>
      <c r="Q3" s="929" t="s">
        <v>1360</v>
      </c>
    </row>
    <row r="4" spans="1:17" x14ac:dyDescent="0.25">
      <c r="A4" s="946" t="s">
        <v>1479</v>
      </c>
      <c r="B4" s="947"/>
      <c r="C4" s="948"/>
      <c r="D4" s="949"/>
      <c r="E4" s="949"/>
      <c r="F4" s="949"/>
      <c r="G4" s="950"/>
      <c r="H4" s="951"/>
      <c r="I4" s="2339"/>
      <c r="J4" s="341"/>
      <c r="K4" s="311"/>
      <c r="L4" s="312"/>
      <c r="M4" s="313"/>
      <c r="N4" s="311"/>
      <c r="O4" s="314"/>
      <c r="P4" s="952"/>
      <c r="Q4" s="953"/>
    </row>
    <row r="5" spans="1:17" s="709" customFormat="1" x14ac:dyDescent="0.25">
      <c r="A5" s="1428" t="s">
        <v>1063</v>
      </c>
      <c r="B5" s="1089"/>
      <c r="C5" s="1090"/>
      <c r="D5" s="1091"/>
      <c r="E5" s="1091"/>
      <c r="F5" s="1091"/>
      <c r="G5" s="1429"/>
      <c r="H5" s="1430"/>
      <c r="I5" s="2340"/>
      <c r="J5" s="1092"/>
      <c r="K5" s="1093"/>
      <c r="L5" s="1094"/>
      <c r="M5" s="1095"/>
      <c r="N5" s="1093"/>
      <c r="O5" s="1096"/>
      <c r="P5" s="1097"/>
      <c r="Q5" s="1098"/>
    </row>
    <row r="6" spans="1:17" ht="5.15" customHeight="1" x14ac:dyDescent="0.25">
      <c r="A6" s="958"/>
      <c r="B6" s="350"/>
      <c r="C6" s="596"/>
      <c r="D6" s="954"/>
      <c r="E6" s="954"/>
      <c r="F6" s="954"/>
      <c r="G6" s="955"/>
      <c r="H6" s="956"/>
      <c r="I6" s="2341"/>
      <c r="J6" s="206"/>
      <c r="K6" s="203"/>
      <c r="L6" s="202"/>
      <c r="M6" s="205"/>
      <c r="N6" s="203"/>
      <c r="O6" s="204"/>
      <c r="P6" s="653"/>
      <c r="Q6" s="959"/>
    </row>
    <row r="7" spans="1:17" ht="12.75" customHeight="1" x14ac:dyDescent="0.25">
      <c r="A7" s="2625" t="s">
        <v>974</v>
      </c>
      <c r="B7" s="1826"/>
      <c r="C7" s="1826" t="s">
        <v>2472</v>
      </c>
      <c r="D7" s="1942"/>
      <c r="E7" s="1942"/>
      <c r="F7" s="1914"/>
      <c r="G7" s="1986"/>
      <c r="H7" s="1987"/>
      <c r="I7" s="2342"/>
      <c r="J7" s="1616"/>
      <c r="K7" s="1614"/>
      <c r="L7" s="1636"/>
      <c r="M7" s="1635">
        <v>650000</v>
      </c>
      <c r="N7" s="1614">
        <v>0</v>
      </c>
      <c r="O7" s="1634">
        <v>0</v>
      </c>
      <c r="P7" s="1988"/>
      <c r="Q7" s="1827" t="s">
        <v>2564</v>
      </c>
    </row>
    <row r="8" spans="1:17" ht="12.75" customHeight="1" x14ac:dyDescent="0.25">
      <c r="A8" s="2625" t="s">
        <v>974</v>
      </c>
      <c r="B8" s="1826"/>
      <c r="C8" s="1826" t="s">
        <v>2473</v>
      </c>
      <c r="D8" s="1942"/>
      <c r="E8" s="1942"/>
      <c r="F8" s="1914"/>
      <c r="G8" s="1986"/>
      <c r="H8" s="1987"/>
      <c r="I8" s="2342"/>
      <c r="J8" s="1616"/>
      <c r="K8" s="1614"/>
      <c r="L8" s="1636"/>
      <c r="M8" s="1635">
        <v>500000</v>
      </c>
      <c r="N8" s="1614">
        <v>0</v>
      </c>
      <c r="O8" s="1634">
        <v>0</v>
      </c>
      <c r="P8" s="1988"/>
      <c r="Q8" s="1827" t="s">
        <v>2565</v>
      </c>
    </row>
    <row r="9" spans="1:17" ht="12.75" customHeight="1" x14ac:dyDescent="0.25">
      <c r="A9" s="2625" t="s">
        <v>974</v>
      </c>
      <c r="B9" s="1826"/>
      <c r="C9" s="1826" t="s">
        <v>2474</v>
      </c>
      <c r="D9" s="1942"/>
      <c r="E9" s="1942"/>
      <c r="F9" s="1914"/>
      <c r="G9" s="1986"/>
      <c r="H9" s="1987"/>
      <c r="I9" s="2342"/>
      <c r="J9" s="1616"/>
      <c r="K9" s="1614"/>
      <c r="L9" s="1636"/>
      <c r="M9" s="1635">
        <v>2500000</v>
      </c>
      <c r="N9" s="1614">
        <v>0</v>
      </c>
      <c r="O9" s="1634">
        <v>0</v>
      </c>
      <c r="P9" s="1988"/>
      <c r="Q9" s="1827" t="s">
        <v>2564</v>
      </c>
    </row>
    <row r="10" spans="1:17" ht="12.75" customHeight="1" x14ac:dyDescent="0.25">
      <c r="A10" s="2625" t="s">
        <v>974</v>
      </c>
      <c r="B10" s="1826"/>
      <c r="C10" s="1826" t="s">
        <v>2475</v>
      </c>
      <c r="D10" s="1942"/>
      <c r="E10" s="1942"/>
      <c r="F10" s="1914"/>
      <c r="G10" s="1986"/>
      <c r="H10" s="1987"/>
      <c r="I10" s="2342"/>
      <c r="J10" s="1616"/>
      <c r="K10" s="1614"/>
      <c r="L10" s="1636"/>
      <c r="M10" s="1635">
        <v>2500000</v>
      </c>
      <c r="N10" s="1614">
        <v>0</v>
      </c>
      <c r="O10" s="1634">
        <v>0</v>
      </c>
      <c r="P10" s="1988"/>
      <c r="Q10" s="1827" t="s">
        <v>2564</v>
      </c>
    </row>
    <row r="11" spans="1:17" ht="12.75" customHeight="1" x14ac:dyDescent="0.25">
      <c r="A11" s="2625" t="s">
        <v>2452</v>
      </c>
      <c r="B11" s="1826"/>
      <c r="C11" s="1826" t="s">
        <v>2476</v>
      </c>
      <c r="D11" s="1942"/>
      <c r="E11" s="1942"/>
      <c r="F11" s="1914"/>
      <c r="G11" s="1986"/>
      <c r="H11" s="1987"/>
      <c r="I11" s="2342"/>
      <c r="J11" s="1616"/>
      <c r="K11" s="1614"/>
      <c r="L11" s="1636"/>
      <c r="M11" s="1635">
        <v>1000000</v>
      </c>
      <c r="N11" s="1614">
        <v>0</v>
      </c>
      <c r="O11" s="1634">
        <v>0</v>
      </c>
      <c r="P11" s="1988"/>
      <c r="Q11" s="1827" t="s">
        <v>2564</v>
      </c>
    </row>
    <row r="12" spans="1:17" ht="12.75" customHeight="1" x14ac:dyDescent="0.25">
      <c r="A12" s="2625" t="s">
        <v>2452</v>
      </c>
      <c r="B12" s="1826"/>
      <c r="C12" s="1826" t="s">
        <v>2477</v>
      </c>
      <c r="D12" s="1942"/>
      <c r="E12" s="1942"/>
      <c r="F12" s="1914"/>
      <c r="G12" s="1986"/>
      <c r="H12" s="1987"/>
      <c r="I12" s="2342"/>
      <c r="J12" s="1616"/>
      <c r="K12" s="1614"/>
      <c r="L12" s="1636"/>
      <c r="M12" s="1635">
        <v>750000</v>
      </c>
      <c r="N12" s="1614">
        <v>0</v>
      </c>
      <c r="O12" s="1634">
        <v>0</v>
      </c>
      <c r="P12" s="1988"/>
      <c r="Q12" s="1827" t="s">
        <v>2565</v>
      </c>
    </row>
    <row r="13" spans="1:17" ht="12.75" customHeight="1" x14ac:dyDescent="0.25">
      <c r="A13" s="2625" t="s">
        <v>2452</v>
      </c>
      <c r="B13" s="1826"/>
      <c r="C13" s="1826" t="s">
        <v>2478</v>
      </c>
      <c r="D13" s="1942"/>
      <c r="E13" s="1942"/>
      <c r="F13" s="1914"/>
      <c r="G13" s="1986"/>
      <c r="H13" s="1987"/>
      <c r="I13" s="2342"/>
      <c r="J13" s="1616"/>
      <c r="K13" s="1614"/>
      <c r="L13" s="1636"/>
      <c r="M13" s="1635">
        <v>400000</v>
      </c>
      <c r="N13" s="1614">
        <v>0</v>
      </c>
      <c r="O13" s="1634">
        <v>0</v>
      </c>
      <c r="P13" s="1988"/>
      <c r="Q13" s="1827" t="s">
        <v>2564</v>
      </c>
    </row>
    <row r="14" spans="1:17" ht="12.75" customHeight="1" x14ac:dyDescent="0.25">
      <c r="A14" s="2625" t="s">
        <v>2452</v>
      </c>
      <c r="B14" s="1826"/>
      <c r="C14" s="1826" t="s">
        <v>2479</v>
      </c>
      <c r="D14" s="1942"/>
      <c r="E14" s="1942"/>
      <c r="F14" s="1914"/>
      <c r="G14" s="1986"/>
      <c r="H14" s="1987"/>
      <c r="I14" s="2342"/>
      <c r="J14" s="1616"/>
      <c r="K14" s="1614"/>
      <c r="L14" s="1636"/>
      <c r="M14" s="1635">
        <v>350000</v>
      </c>
      <c r="N14" s="1614">
        <v>0</v>
      </c>
      <c r="O14" s="1634">
        <v>0</v>
      </c>
      <c r="P14" s="1988"/>
      <c r="Q14" s="1827" t="s">
        <v>2565</v>
      </c>
    </row>
    <row r="15" spans="1:17" ht="12.75" customHeight="1" x14ac:dyDescent="0.25">
      <c r="A15" s="2625" t="s">
        <v>2452</v>
      </c>
      <c r="B15" s="1826"/>
      <c r="C15" s="1826" t="s">
        <v>2480</v>
      </c>
      <c r="D15" s="1942"/>
      <c r="E15" s="1942"/>
      <c r="F15" s="1914"/>
      <c r="G15" s="1986"/>
      <c r="H15" s="1987"/>
      <c r="I15" s="2342"/>
      <c r="J15" s="1616"/>
      <c r="K15" s="1614"/>
      <c r="L15" s="1636"/>
      <c r="M15" s="1635">
        <v>400000</v>
      </c>
      <c r="N15" s="1614">
        <v>0</v>
      </c>
      <c r="O15" s="1634">
        <v>0</v>
      </c>
      <c r="P15" s="1988"/>
      <c r="Q15" s="1827" t="s">
        <v>2565</v>
      </c>
    </row>
    <row r="16" spans="1:17" ht="12.75" customHeight="1" x14ac:dyDescent="0.25">
      <c r="A16" s="2625" t="s">
        <v>974</v>
      </c>
      <c r="B16" s="1826"/>
      <c r="C16" s="1826" t="s">
        <v>2481</v>
      </c>
      <c r="D16" s="1942"/>
      <c r="E16" s="1942"/>
      <c r="F16" s="1914"/>
      <c r="G16" s="1986"/>
      <c r="H16" s="1987"/>
      <c r="I16" s="2342"/>
      <c r="J16" s="1616"/>
      <c r="K16" s="1614"/>
      <c r="L16" s="1636"/>
      <c r="M16" s="1635">
        <v>300000</v>
      </c>
      <c r="N16" s="1614">
        <v>400000</v>
      </c>
      <c r="O16" s="1634">
        <v>400000</v>
      </c>
      <c r="P16" s="1988"/>
      <c r="Q16" s="1827" t="s">
        <v>2565</v>
      </c>
    </row>
    <row r="17" spans="1:17" ht="12.75" customHeight="1" x14ac:dyDescent="0.25">
      <c r="A17" s="2625" t="s">
        <v>974</v>
      </c>
      <c r="B17" s="1826"/>
      <c r="C17" s="1826" t="s">
        <v>2482</v>
      </c>
      <c r="D17" s="1942"/>
      <c r="E17" s="1942"/>
      <c r="F17" s="1914"/>
      <c r="G17" s="1986"/>
      <c r="H17" s="1987"/>
      <c r="I17" s="2342"/>
      <c r="J17" s="1616"/>
      <c r="K17" s="1614"/>
      <c r="L17" s="1636"/>
      <c r="M17" s="1635">
        <v>250000</v>
      </c>
      <c r="N17" s="1614">
        <v>300000</v>
      </c>
      <c r="O17" s="1634">
        <v>350000</v>
      </c>
      <c r="P17" s="1988"/>
      <c r="Q17" s="1827" t="s">
        <v>2565</v>
      </c>
    </row>
    <row r="18" spans="1:17" ht="12.75" customHeight="1" x14ac:dyDescent="0.25">
      <c r="A18" s="2625" t="s">
        <v>974</v>
      </c>
      <c r="B18" s="1826"/>
      <c r="C18" s="1826" t="s">
        <v>2483</v>
      </c>
      <c r="D18" s="1942"/>
      <c r="E18" s="1942" t="s">
        <v>2536</v>
      </c>
      <c r="F18" s="1914"/>
      <c r="G18" s="1986"/>
      <c r="H18" s="1987"/>
      <c r="I18" s="2342"/>
      <c r="J18" s="1616"/>
      <c r="K18" s="1614"/>
      <c r="L18" s="1636"/>
      <c r="M18" s="1635">
        <v>1000000</v>
      </c>
      <c r="N18" s="1614">
        <v>0</v>
      </c>
      <c r="O18" s="1634">
        <v>0</v>
      </c>
      <c r="P18" s="1988"/>
      <c r="Q18" s="1827" t="s">
        <v>2564</v>
      </c>
    </row>
    <row r="19" spans="1:17" ht="12.75" customHeight="1" x14ac:dyDescent="0.25">
      <c r="A19" s="2625" t="s">
        <v>974</v>
      </c>
      <c r="B19" s="1826"/>
      <c r="C19" s="1826" t="s">
        <v>2484</v>
      </c>
      <c r="D19" s="1942"/>
      <c r="E19" s="1942"/>
      <c r="F19" s="1914"/>
      <c r="G19" s="1986"/>
      <c r="H19" s="1987"/>
      <c r="I19" s="2342"/>
      <c r="J19" s="1616"/>
      <c r="K19" s="1614"/>
      <c r="L19" s="1636"/>
      <c r="M19" s="1635">
        <v>17710000</v>
      </c>
      <c r="N19" s="1614">
        <v>10570000</v>
      </c>
      <c r="O19" s="1634">
        <v>7000000</v>
      </c>
      <c r="P19" s="1988"/>
      <c r="Q19" s="1827" t="s">
        <v>2564</v>
      </c>
    </row>
    <row r="20" spans="1:17" ht="12.75" customHeight="1" x14ac:dyDescent="0.25">
      <c r="A20" s="2625" t="s">
        <v>974</v>
      </c>
      <c r="B20" s="1826"/>
      <c r="C20" s="1826" t="s">
        <v>2485</v>
      </c>
      <c r="D20" s="1942"/>
      <c r="E20" s="1942"/>
      <c r="F20" s="1914"/>
      <c r="G20" s="1986"/>
      <c r="H20" s="1987"/>
      <c r="I20" s="2342"/>
      <c r="J20" s="1616"/>
      <c r="K20" s="1614"/>
      <c r="L20" s="1636"/>
      <c r="M20" s="1635">
        <v>300000</v>
      </c>
      <c r="N20" s="1614">
        <v>4000000</v>
      </c>
      <c r="O20" s="1634">
        <v>3000000</v>
      </c>
      <c r="P20" s="1988"/>
      <c r="Q20" s="1827" t="s">
        <v>2564</v>
      </c>
    </row>
    <row r="21" spans="1:17" ht="12.75" customHeight="1" x14ac:dyDescent="0.25">
      <c r="A21" s="2625" t="s">
        <v>974</v>
      </c>
      <c r="B21" s="1826"/>
      <c r="C21" s="1826" t="s">
        <v>2486</v>
      </c>
      <c r="D21" s="1942"/>
      <c r="E21" s="1942"/>
      <c r="F21" s="1914"/>
      <c r="G21" s="1986"/>
      <c r="H21" s="1987"/>
      <c r="I21" s="2342"/>
      <c r="J21" s="1616"/>
      <c r="K21" s="1614"/>
      <c r="L21" s="1636"/>
      <c r="M21" s="1635">
        <v>400000</v>
      </c>
      <c r="N21" s="1614">
        <v>0</v>
      </c>
      <c r="O21" s="1634">
        <v>1000000</v>
      </c>
      <c r="P21" s="1988"/>
      <c r="Q21" s="1827" t="s">
        <v>2564</v>
      </c>
    </row>
    <row r="22" spans="1:17" ht="12.75" customHeight="1" x14ac:dyDescent="0.25">
      <c r="A22" s="2625" t="s">
        <v>974</v>
      </c>
      <c r="B22" s="1826"/>
      <c r="C22" s="1826" t="s">
        <v>2487</v>
      </c>
      <c r="D22" s="1942"/>
      <c r="E22" s="1942"/>
      <c r="F22" s="1914"/>
      <c r="G22" s="1986"/>
      <c r="H22" s="1987"/>
      <c r="I22" s="2342"/>
      <c r="J22" s="1616"/>
      <c r="K22" s="1614"/>
      <c r="L22" s="1636"/>
      <c r="M22" s="1635">
        <v>1000000</v>
      </c>
      <c r="N22" s="1614">
        <v>150000</v>
      </c>
      <c r="O22" s="1634">
        <v>600000</v>
      </c>
      <c r="P22" s="1988"/>
      <c r="Q22" s="1827" t="s">
        <v>2565</v>
      </c>
    </row>
    <row r="23" spans="1:17" ht="12.75" customHeight="1" x14ac:dyDescent="0.25">
      <c r="A23" s="2625" t="s">
        <v>974</v>
      </c>
      <c r="B23" s="1826"/>
      <c r="C23" s="1826" t="s">
        <v>2488</v>
      </c>
      <c r="D23" s="1942"/>
      <c r="E23" s="1942"/>
      <c r="F23" s="1914"/>
      <c r="G23" s="1986"/>
      <c r="H23" s="1987"/>
      <c r="I23" s="2342"/>
      <c r="J23" s="1616"/>
      <c r="K23" s="1614"/>
      <c r="L23" s="1636"/>
      <c r="M23" s="1635">
        <v>1000000</v>
      </c>
      <c r="N23" s="1614">
        <v>1500000</v>
      </c>
      <c r="O23" s="1634">
        <v>500000</v>
      </c>
      <c r="P23" s="1988"/>
      <c r="Q23" s="1827" t="s">
        <v>2565</v>
      </c>
    </row>
    <row r="24" spans="1:17" ht="12.75" customHeight="1" x14ac:dyDescent="0.25">
      <c r="A24" s="2625" t="s">
        <v>974</v>
      </c>
      <c r="B24" s="1826"/>
      <c r="C24" s="1826" t="s">
        <v>2489</v>
      </c>
      <c r="D24" s="1942"/>
      <c r="E24" s="1942"/>
      <c r="F24" s="1914"/>
      <c r="G24" s="1986"/>
      <c r="H24" s="1987"/>
      <c r="I24" s="2342"/>
      <c r="J24" s="1616"/>
      <c r="K24" s="1614"/>
      <c r="L24" s="1636"/>
      <c r="M24" s="1635">
        <v>780000</v>
      </c>
      <c r="N24" s="1614"/>
      <c r="O24" s="1634"/>
      <c r="P24" s="1988"/>
      <c r="Q24" s="1827" t="s">
        <v>2565</v>
      </c>
    </row>
    <row r="25" spans="1:17" ht="12.75" customHeight="1" x14ac:dyDescent="0.25">
      <c r="A25" s="2625" t="s">
        <v>974</v>
      </c>
      <c r="B25" s="1826"/>
      <c r="C25" s="1826" t="s">
        <v>2490</v>
      </c>
      <c r="D25" s="1942"/>
      <c r="E25" s="1942"/>
      <c r="F25" s="1914"/>
      <c r="G25" s="1986"/>
      <c r="H25" s="1987"/>
      <c r="I25" s="2342"/>
      <c r="J25" s="1616"/>
      <c r="K25" s="1614"/>
      <c r="L25" s="1636"/>
      <c r="M25" s="1635">
        <v>500000</v>
      </c>
      <c r="N25" s="1614">
        <v>100000</v>
      </c>
      <c r="O25" s="1634">
        <v>100000</v>
      </c>
      <c r="P25" s="1988"/>
      <c r="Q25" s="1827" t="s">
        <v>2565</v>
      </c>
    </row>
    <row r="26" spans="1:17" ht="12.75" customHeight="1" x14ac:dyDescent="0.25">
      <c r="A26" s="2625" t="s">
        <v>974</v>
      </c>
      <c r="B26" s="1826"/>
      <c r="C26" s="1826" t="s">
        <v>2491</v>
      </c>
      <c r="D26" s="1942"/>
      <c r="E26" s="1942"/>
      <c r="F26" s="1914"/>
      <c r="G26" s="1986"/>
      <c r="H26" s="1987"/>
      <c r="I26" s="2342"/>
      <c r="J26" s="1616"/>
      <c r="K26" s="1614"/>
      <c r="L26" s="1636"/>
      <c r="M26" s="1635">
        <v>15000000</v>
      </c>
      <c r="N26" s="1614">
        <v>10000000</v>
      </c>
      <c r="O26" s="1634">
        <v>10040000</v>
      </c>
      <c r="P26" s="1988"/>
      <c r="Q26" s="1827" t="s">
        <v>2565</v>
      </c>
    </row>
    <row r="27" spans="1:17" ht="12.75" customHeight="1" x14ac:dyDescent="0.25">
      <c r="A27" s="2625" t="s">
        <v>974</v>
      </c>
      <c r="B27" s="1826"/>
      <c r="C27" s="1826" t="s">
        <v>2492</v>
      </c>
      <c r="D27" s="1942"/>
      <c r="E27" s="1942"/>
      <c r="F27" s="1914"/>
      <c r="G27" s="1986"/>
      <c r="H27" s="1987"/>
      <c r="I27" s="2342"/>
      <c r="J27" s="1616"/>
      <c r="K27" s="1614"/>
      <c r="L27" s="1636"/>
      <c r="M27" s="1635"/>
      <c r="N27" s="1614">
        <v>15980000</v>
      </c>
      <c r="O27" s="1634">
        <v>11210000</v>
      </c>
      <c r="P27" s="1988"/>
      <c r="Q27" s="1827" t="s">
        <v>2564</v>
      </c>
    </row>
    <row r="28" spans="1:17" ht="12.75" customHeight="1" x14ac:dyDescent="0.25">
      <c r="A28" s="2625" t="s">
        <v>1559</v>
      </c>
      <c r="B28" s="1826"/>
      <c r="C28" s="1826" t="s">
        <v>2493</v>
      </c>
      <c r="D28" s="1942"/>
      <c r="E28" s="1942"/>
      <c r="F28" s="1914"/>
      <c r="G28" s="1986"/>
      <c r="H28" s="1987"/>
      <c r="I28" s="2342"/>
      <c r="J28" s="1616"/>
      <c r="K28" s="1614"/>
      <c r="L28" s="1636"/>
      <c r="M28" s="1635">
        <v>2810000</v>
      </c>
      <c r="N28" s="1614">
        <v>0</v>
      </c>
      <c r="O28" s="1634">
        <v>0</v>
      </c>
      <c r="P28" s="1988"/>
      <c r="Q28" s="1827" t="s">
        <v>2565</v>
      </c>
    </row>
    <row r="29" spans="1:17" ht="12.75" customHeight="1" x14ac:dyDescent="0.25">
      <c r="A29" s="2625" t="s">
        <v>2471</v>
      </c>
      <c r="B29" s="1826"/>
      <c r="C29" s="1826" t="s">
        <v>2494</v>
      </c>
      <c r="D29" s="1942"/>
      <c r="E29" s="1942"/>
      <c r="F29" s="1914"/>
      <c r="G29" s="1986"/>
      <c r="H29" s="1987"/>
      <c r="I29" s="2342"/>
      <c r="J29" s="1616"/>
      <c r="K29" s="1614"/>
      <c r="L29" s="1636"/>
      <c r="M29" s="1635">
        <v>7000000</v>
      </c>
      <c r="N29" s="1614">
        <v>12000000</v>
      </c>
      <c r="O29" s="1634">
        <v>13000000</v>
      </c>
      <c r="P29" s="1988"/>
      <c r="Q29" s="1827" t="s">
        <v>2565</v>
      </c>
    </row>
    <row r="30" spans="1:17" ht="12.75" customHeight="1" x14ac:dyDescent="0.25">
      <c r="A30" s="2625" t="s">
        <v>1559</v>
      </c>
      <c r="B30" s="1826"/>
      <c r="C30" s="1826" t="s">
        <v>2495</v>
      </c>
      <c r="D30" s="1942"/>
      <c r="E30" s="1942"/>
      <c r="F30" s="1914"/>
      <c r="G30" s="1986"/>
      <c r="H30" s="1987"/>
      <c r="I30" s="2342"/>
      <c r="J30" s="1616"/>
      <c r="K30" s="1614"/>
      <c r="L30" s="1636"/>
      <c r="M30" s="1635">
        <v>200000</v>
      </c>
      <c r="N30" s="1614"/>
      <c r="O30" s="1634"/>
      <c r="P30" s="1988"/>
      <c r="Q30" s="1827" t="s">
        <v>2564</v>
      </c>
    </row>
    <row r="31" spans="1:17" ht="12.75" customHeight="1" x14ac:dyDescent="0.25">
      <c r="A31" s="2625" t="s">
        <v>2452</v>
      </c>
      <c r="B31" s="1826"/>
      <c r="C31" s="1826" t="s">
        <v>2496</v>
      </c>
      <c r="D31" s="1942"/>
      <c r="E31" s="1942"/>
      <c r="F31" s="1914"/>
      <c r="G31" s="1986"/>
      <c r="H31" s="1987"/>
      <c r="I31" s="2342"/>
      <c r="J31" s="1616"/>
      <c r="K31" s="1614"/>
      <c r="L31" s="1636"/>
      <c r="M31" s="1635">
        <v>200000</v>
      </c>
      <c r="N31" s="1614"/>
      <c r="O31" s="1634"/>
      <c r="P31" s="1988"/>
      <c r="Q31" s="1827" t="s">
        <v>2565</v>
      </c>
    </row>
    <row r="32" spans="1:17" ht="12.75" customHeight="1" x14ac:dyDescent="0.25">
      <c r="A32" s="2625" t="s">
        <v>2452</v>
      </c>
      <c r="B32" s="1826"/>
      <c r="C32" s="1826" t="s">
        <v>2497</v>
      </c>
      <c r="D32" s="1942"/>
      <c r="E32" s="1942"/>
      <c r="F32" s="1914"/>
      <c r="G32" s="1986"/>
      <c r="H32" s="1987"/>
      <c r="I32" s="2342"/>
      <c r="J32" s="1616"/>
      <c r="K32" s="1614"/>
      <c r="L32" s="1636"/>
      <c r="M32" s="1635">
        <v>2500000</v>
      </c>
      <c r="N32" s="1614">
        <v>5000000</v>
      </c>
      <c r="O32" s="1634">
        <v>2800000</v>
      </c>
      <c r="P32" s="1988"/>
      <c r="Q32" s="1827" t="s">
        <v>2564</v>
      </c>
    </row>
    <row r="33" spans="1:17" ht="12.75" customHeight="1" x14ac:dyDescent="0.25">
      <c r="A33" s="2625" t="s">
        <v>974</v>
      </c>
      <c r="B33" s="1826"/>
      <c r="C33" s="1826" t="s">
        <v>2498</v>
      </c>
      <c r="D33" s="1942"/>
      <c r="E33" s="1942"/>
      <c r="F33" s="1914"/>
      <c r="G33" s="1986"/>
      <c r="H33" s="1987"/>
      <c r="I33" s="2342"/>
      <c r="J33" s="1616"/>
      <c r="K33" s="1614"/>
      <c r="L33" s="1636"/>
      <c r="M33" s="1635">
        <v>12500000</v>
      </c>
      <c r="N33" s="1614">
        <v>0</v>
      </c>
      <c r="O33" s="1634">
        <v>0</v>
      </c>
      <c r="P33" s="1988"/>
      <c r="Q33" s="1827" t="s">
        <v>2564</v>
      </c>
    </row>
    <row r="34" spans="1:17" ht="12.75" customHeight="1" x14ac:dyDescent="0.25">
      <c r="A34" s="2625" t="s">
        <v>974</v>
      </c>
      <c r="B34" s="1826"/>
      <c r="C34" s="1826" t="s">
        <v>2499</v>
      </c>
      <c r="D34" s="1942"/>
      <c r="E34" s="1942"/>
      <c r="F34" s="1914"/>
      <c r="G34" s="1986"/>
      <c r="H34" s="1987"/>
      <c r="I34" s="2342"/>
      <c r="J34" s="1616"/>
      <c r="K34" s="1614"/>
      <c r="L34" s="1636"/>
      <c r="M34" s="1635">
        <v>8000000</v>
      </c>
      <c r="N34" s="1614">
        <v>5000000</v>
      </c>
      <c r="O34" s="1634">
        <v>10000000</v>
      </c>
      <c r="P34" s="1988"/>
      <c r="Q34" s="1827" t="s">
        <v>2564</v>
      </c>
    </row>
    <row r="35" spans="1:17" ht="12.75" customHeight="1" x14ac:dyDescent="0.25">
      <c r="A35" s="1913" t="s">
        <v>974</v>
      </c>
      <c r="B35" s="1826"/>
      <c r="C35" s="1990" t="s">
        <v>2500</v>
      </c>
      <c r="D35" s="1940"/>
      <c r="E35" s="1940"/>
      <c r="F35" s="1914"/>
      <c r="G35" s="1986"/>
      <c r="H35" s="1987"/>
      <c r="I35" s="2342"/>
      <c r="J35" s="1616"/>
      <c r="K35" s="1614"/>
      <c r="L35" s="1636"/>
      <c r="M35" s="1635">
        <v>100846000</v>
      </c>
      <c r="N35" s="1614"/>
      <c r="O35" s="1634"/>
      <c r="P35" s="1988"/>
      <c r="Q35" s="1827" t="s">
        <v>2564</v>
      </c>
    </row>
    <row r="36" spans="1:17" ht="12.75" customHeight="1" x14ac:dyDescent="0.25">
      <c r="A36" s="1913" t="s">
        <v>974</v>
      </c>
      <c r="B36" s="1826"/>
      <c r="C36" s="1990" t="s">
        <v>2501</v>
      </c>
      <c r="D36" s="1940"/>
      <c r="E36" s="1940"/>
      <c r="F36" s="1914"/>
      <c r="G36" s="1986"/>
      <c r="H36" s="1987"/>
      <c r="I36" s="2342"/>
      <c r="J36" s="1616"/>
      <c r="K36" s="1614"/>
      <c r="L36" s="1636"/>
      <c r="M36" s="1635">
        <v>143000000</v>
      </c>
      <c r="N36" s="1614">
        <v>30000000</v>
      </c>
      <c r="O36" s="1634">
        <v>12000000</v>
      </c>
      <c r="P36" s="1988"/>
      <c r="Q36" s="1827" t="s">
        <v>2565</v>
      </c>
    </row>
    <row r="37" spans="1:17" ht="12.75" customHeight="1" x14ac:dyDescent="0.25">
      <c r="A37" s="1991" t="s">
        <v>974</v>
      </c>
      <c r="B37" s="1826"/>
      <c r="C37" s="1990" t="s">
        <v>2502</v>
      </c>
      <c r="D37" s="1940"/>
      <c r="E37" s="1940"/>
      <c r="F37" s="1914"/>
      <c r="G37" s="1986"/>
      <c r="H37" s="1987"/>
      <c r="I37" s="2342"/>
      <c r="J37" s="1616"/>
      <c r="K37" s="1614"/>
      <c r="L37" s="1636"/>
      <c r="M37" s="1635">
        <v>4000000</v>
      </c>
      <c r="N37" s="1614">
        <v>4000000</v>
      </c>
      <c r="O37" s="1634">
        <v>0</v>
      </c>
      <c r="P37" s="1988"/>
      <c r="Q37" s="1827" t="s">
        <v>2564</v>
      </c>
    </row>
    <row r="38" spans="1:17" ht="12.75" customHeight="1" x14ac:dyDescent="0.25">
      <c r="A38" s="1991" t="s">
        <v>974</v>
      </c>
      <c r="B38" s="1826"/>
      <c r="C38" s="1990" t="s">
        <v>2503</v>
      </c>
      <c r="D38" s="1940"/>
      <c r="E38" s="1940"/>
      <c r="F38" s="1914"/>
      <c r="G38" s="1986"/>
      <c r="H38" s="1987"/>
      <c r="I38" s="2342"/>
      <c r="J38" s="1616"/>
      <c r="K38" s="1614"/>
      <c r="L38" s="1636"/>
      <c r="M38" s="1635">
        <v>9000000</v>
      </c>
      <c r="N38" s="1614">
        <v>10000000</v>
      </c>
      <c r="O38" s="1634">
        <v>0</v>
      </c>
      <c r="P38" s="1988"/>
      <c r="Q38" s="1827" t="s">
        <v>2564</v>
      </c>
    </row>
    <row r="39" spans="1:17" ht="12.75" customHeight="1" x14ac:dyDescent="0.25">
      <c r="A39" s="1913" t="s">
        <v>974</v>
      </c>
      <c r="B39" s="1826"/>
      <c r="C39" s="1990" t="s">
        <v>2504</v>
      </c>
      <c r="D39" s="1940"/>
      <c r="E39" s="1940"/>
      <c r="F39" s="1914"/>
      <c r="G39" s="1986"/>
      <c r="H39" s="1987"/>
      <c r="I39" s="2342"/>
      <c r="J39" s="1616"/>
      <c r="K39" s="1614"/>
      <c r="L39" s="1636"/>
      <c r="M39" s="1635">
        <v>1500000</v>
      </c>
      <c r="N39" s="1614">
        <v>1500000</v>
      </c>
      <c r="O39" s="1634">
        <v>1500000</v>
      </c>
      <c r="P39" s="1988"/>
      <c r="Q39" s="1827" t="s">
        <v>2564</v>
      </c>
    </row>
    <row r="40" spans="1:17" ht="12.75" customHeight="1" x14ac:dyDescent="0.25">
      <c r="A40" s="1913" t="s">
        <v>1559</v>
      </c>
      <c r="B40" s="1826"/>
      <c r="C40" s="1990" t="s">
        <v>2505</v>
      </c>
      <c r="D40" s="1940"/>
      <c r="E40" s="1940"/>
      <c r="F40" s="1914"/>
      <c r="G40" s="1986"/>
      <c r="H40" s="1987"/>
      <c r="I40" s="2342"/>
      <c r="J40" s="1616"/>
      <c r="K40" s="1614"/>
      <c r="L40" s="1636"/>
      <c r="M40" s="1635">
        <v>1000000</v>
      </c>
      <c r="N40" s="1614">
        <v>0</v>
      </c>
      <c r="O40" s="1634">
        <v>0</v>
      </c>
      <c r="P40" s="1988"/>
      <c r="Q40" s="1827" t="s">
        <v>2564</v>
      </c>
    </row>
    <row r="41" spans="1:17" ht="12.75" customHeight="1" x14ac:dyDescent="0.25">
      <c r="A41" s="1913" t="s">
        <v>1559</v>
      </c>
      <c r="B41" s="1826"/>
      <c r="C41" s="1990" t="s">
        <v>2506</v>
      </c>
      <c r="D41" s="1940"/>
      <c r="E41" s="1940"/>
      <c r="F41" s="1914"/>
      <c r="G41" s="1986"/>
      <c r="H41" s="1987"/>
      <c r="I41" s="2342"/>
      <c r="J41" s="1616"/>
      <c r="K41" s="1614"/>
      <c r="L41" s="1636"/>
      <c r="M41" s="1635">
        <v>1500000</v>
      </c>
      <c r="N41" s="1614">
        <v>0</v>
      </c>
      <c r="O41" s="1634">
        <v>0</v>
      </c>
      <c r="P41" s="1988"/>
      <c r="Q41" s="1827" t="s">
        <v>2564</v>
      </c>
    </row>
    <row r="42" spans="1:17" ht="12.75" customHeight="1" x14ac:dyDescent="0.25">
      <c r="A42" s="1913" t="s">
        <v>1559</v>
      </c>
      <c r="B42" s="1826"/>
      <c r="C42" s="1990" t="s">
        <v>2507</v>
      </c>
      <c r="D42" s="1940"/>
      <c r="E42" s="1940"/>
      <c r="F42" s="1914"/>
      <c r="G42" s="1986"/>
      <c r="H42" s="1987"/>
      <c r="I42" s="2342"/>
      <c r="J42" s="1616"/>
      <c r="K42" s="1614"/>
      <c r="L42" s="1636"/>
      <c r="M42" s="1635">
        <v>2800000</v>
      </c>
      <c r="N42" s="1614">
        <v>2800000</v>
      </c>
      <c r="O42" s="1634">
        <v>1200000</v>
      </c>
      <c r="P42" s="1988"/>
      <c r="Q42" s="1827" t="s">
        <v>2564</v>
      </c>
    </row>
    <row r="43" spans="1:17" ht="12.75" customHeight="1" x14ac:dyDescent="0.25">
      <c r="A43" s="1913" t="s">
        <v>974</v>
      </c>
      <c r="B43" s="1826"/>
      <c r="C43" s="1990" t="s">
        <v>2508</v>
      </c>
      <c r="D43" s="1940"/>
      <c r="E43" s="1940" t="s">
        <v>2537</v>
      </c>
      <c r="F43" s="1914"/>
      <c r="G43" s="1986"/>
      <c r="H43" s="1987"/>
      <c r="I43" s="2342"/>
      <c r="J43" s="1616"/>
      <c r="K43" s="1614"/>
      <c r="L43" s="1636"/>
      <c r="M43" s="1635">
        <v>2000000</v>
      </c>
      <c r="N43" s="1614">
        <v>2000000</v>
      </c>
      <c r="O43" s="1634">
        <v>6000000</v>
      </c>
      <c r="P43" s="1988"/>
      <c r="Q43" s="1827" t="s">
        <v>2565</v>
      </c>
    </row>
    <row r="44" spans="1:17" ht="12.75" customHeight="1" x14ac:dyDescent="0.25">
      <c r="A44" s="1913" t="s">
        <v>974</v>
      </c>
      <c r="B44" s="1826"/>
      <c r="C44" s="1990" t="s">
        <v>2509</v>
      </c>
      <c r="D44" s="1940"/>
      <c r="E44" s="1940" t="s">
        <v>2538</v>
      </c>
      <c r="F44" s="1914"/>
      <c r="G44" s="1986"/>
      <c r="H44" s="1987"/>
      <c r="I44" s="2342"/>
      <c r="J44" s="1616"/>
      <c r="K44" s="1614"/>
      <c r="L44" s="1636"/>
      <c r="M44" s="1635">
        <v>9875000</v>
      </c>
      <c r="N44" s="1614">
        <v>5000000</v>
      </c>
      <c r="O44" s="1634">
        <v>10000000</v>
      </c>
      <c r="P44" s="1988"/>
      <c r="Q44" s="1827" t="s">
        <v>2564</v>
      </c>
    </row>
    <row r="45" spans="1:17" ht="12.75" customHeight="1" x14ac:dyDescent="0.25">
      <c r="A45" s="1913" t="s">
        <v>974</v>
      </c>
      <c r="B45" s="1826"/>
      <c r="C45" s="1990" t="s">
        <v>2510</v>
      </c>
      <c r="D45" s="1940"/>
      <c r="E45" s="1940" t="s">
        <v>2539</v>
      </c>
      <c r="F45" s="1914"/>
      <c r="G45" s="1986"/>
      <c r="H45" s="1987"/>
      <c r="I45" s="2342"/>
      <c r="J45" s="1616"/>
      <c r="K45" s="1614"/>
      <c r="L45" s="1636"/>
      <c r="M45" s="1635">
        <v>10000000</v>
      </c>
      <c r="N45" s="1614">
        <v>12000000</v>
      </c>
      <c r="O45" s="1634">
        <v>15000000</v>
      </c>
      <c r="P45" s="1988"/>
      <c r="Q45" s="1827" t="s">
        <v>2564</v>
      </c>
    </row>
    <row r="46" spans="1:17" ht="12.75" customHeight="1" x14ac:dyDescent="0.25">
      <c r="A46" s="1913" t="s">
        <v>974</v>
      </c>
      <c r="B46" s="1826"/>
      <c r="C46" s="1990" t="s">
        <v>2511</v>
      </c>
      <c r="D46" s="1940"/>
      <c r="E46" s="1940" t="s">
        <v>2540</v>
      </c>
      <c r="F46" s="1914"/>
      <c r="G46" s="1986"/>
      <c r="H46" s="1987"/>
      <c r="I46" s="2342"/>
      <c r="J46" s="1616"/>
      <c r="K46" s="1614"/>
      <c r="L46" s="1636"/>
      <c r="M46" s="1635">
        <v>8000000</v>
      </c>
      <c r="N46" s="1614">
        <v>12000000</v>
      </c>
      <c r="O46" s="1634">
        <v>5000000</v>
      </c>
      <c r="P46" s="1988"/>
      <c r="Q46" s="1827" t="s">
        <v>2564</v>
      </c>
    </row>
    <row r="47" spans="1:17" ht="12.75" customHeight="1" x14ac:dyDescent="0.25">
      <c r="A47" s="1913" t="s">
        <v>974</v>
      </c>
      <c r="B47" s="1826"/>
      <c r="C47" s="1990" t="s">
        <v>2512</v>
      </c>
      <c r="D47" s="1940"/>
      <c r="E47" s="1940" t="s">
        <v>2541</v>
      </c>
      <c r="F47" s="1914"/>
      <c r="G47" s="1986"/>
      <c r="H47" s="1987"/>
      <c r="I47" s="2342"/>
      <c r="J47" s="1616"/>
      <c r="K47" s="1614"/>
      <c r="L47" s="1636"/>
      <c r="M47" s="1635">
        <v>8000000</v>
      </c>
      <c r="N47" s="1614">
        <v>12000000</v>
      </c>
      <c r="O47" s="1634">
        <v>5000000</v>
      </c>
      <c r="P47" s="1988"/>
      <c r="Q47" s="1827" t="s">
        <v>2564</v>
      </c>
    </row>
    <row r="48" spans="1:17" ht="12.75" customHeight="1" x14ac:dyDescent="0.25">
      <c r="A48" s="1913" t="s">
        <v>974</v>
      </c>
      <c r="B48" s="1826"/>
      <c r="C48" s="1990" t="s">
        <v>2513</v>
      </c>
      <c r="D48" s="1940"/>
      <c r="E48" s="1940" t="s">
        <v>2542</v>
      </c>
      <c r="F48" s="1914"/>
      <c r="G48" s="1986"/>
      <c r="H48" s="1987"/>
      <c r="I48" s="2342"/>
      <c r="J48" s="1616"/>
      <c r="K48" s="1614"/>
      <c r="L48" s="1636"/>
      <c r="M48" s="1635">
        <v>3050000</v>
      </c>
      <c r="N48" s="1614">
        <v>600000</v>
      </c>
      <c r="O48" s="1634">
        <v>12000000</v>
      </c>
      <c r="P48" s="1988"/>
      <c r="Q48" s="1827" t="s">
        <v>2564</v>
      </c>
    </row>
    <row r="49" spans="1:17" ht="12.75" customHeight="1" x14ac:dyDescent="0.25">
      <c r="A49" s="1913" t="s">
        <v>974</v>
      </c>
      <c r="B49" s="1826"/>
      <c r="C49" s="1990" t="s">
        <v>2514</v>
      </c>
      <c r="D49" s="1940"/>
      <c r="E49" s="1940" t="s">
        <v>2543</v>
      </c>
      <c r="F49" s="1914"/>
      <c r="G49" s="1986"/>
      <c r="H49" s="1987"/>
      <c r="I49" s="2342"/>
      <c r="J49" s="1616"/>
      <c r="K49" s="1614"/>
      <c r="L49" s="1636"/>
      <c r="M49" s="1635">
        <v>5871555</v>
      </c>
      <c r="N49" s="1614">
        <v>600000</v>
      </c>
      <c r="O49" s="1634">
        <v>10000000</v>
      </c>
      <c r="P49" s="1988"/>
      <c r="Q49" s="1827" t="s">
        <v>2564</v>
      </c>
    </row>
    <row r="50" spans="1:17" ht="12.75" customHeight="1" x14ac:dyDescent="0.25">
      <c r="A50" s="1913" t="s">
        <v>974</v>
      </c>
      <c r="B50" s="1826"/>
      <c r="C50" s="1990" t="s">
        <v>2515</v>
      </c>
      <c r="D50" s="1940"/>
      <c r="E50" s="1940" t="s">
        <v>2544</v>
      </c>
      <c r="F50" s="1914"/>
      <c r="G50" s="1986"/>
      <c r="H50" s="1987"/>
      <c r="I50" s="2342"/>
      <c r="J50" s="1616"/>
      <c r="K50" s="1614"/>
      <c r="L50" s="1636"/>
      <c r="M50" s="1635">
        <v>15000000</v>
      </c>
      <c r="N50" s="1614">
        <v>29279000</v>
      </c>
      <c r="O50" s="1634">
        <v>58690000</v>
      </c>
      <c r="P50" s="1988"/>
      <c r="Q50" s="1827" t="s">
        <v>2564</v>
      </c>
    </row>
    <row r="51" spans="1:17" ht="12.75" customHeight="1" x14ac:dyDescent="0.25">
      <c r="A51" s="1913" t="s">
        <v>974</v>
      </c>
      <c r="B51" s="1826"/>
      <c r="C51" s="1990" t="s">
        <v>2516</v>
      </c>
      <c r="D51" s="1940"/>
      <c r="E51" s="1940" t="s">
        <v>2542</v>
      </c>
      <c r="F51" s="1914"/>
      <c r="G51" s="1986"/>
      <c r="H51" s="1987"/>
      <c r="I51" s="2342"/>
      <c r="J51" s="1616"/>
      <c r="K51" s="1614"/>
      <c r="L51" s="1636"/>
      <c r="M51" s="1635">
        <v>125000</v>
      </c>
      <c r="N51" s="1614">
        <v>0</v>
      </c>
      <c r="O51" s="1634">
        <v>300000</v>
      </c>
      <c r="P51" s="1988"/>
      <c r="Q51" s="1827" t="s">
        <v>2564</v>
      </c>
    </row>
    <row r="52" spans="1:17" ht="12.75" customHeight="1" x14ac:dyDescent="0.25">
      <c r="A52" s="1991" t="s">
        <v>974</v>
      </c>
      <c r="B52" s="1826"/>
      <c r="C52" s="1990" t="s">
        <v>2517</v>
      </c>
      <c r="D52" s="1940"/>
      <c r="E52" s="1940" t="s">
        <v>2545</v>
      </c>
      <c r="F52" s="1914"/>
      <c r="G52" s="1986"/>
      <c r="H52" s="1987"/>
      <c r="I52" s="2342"/>
      <c r="J52" s="1616"/>
      <c r="K52" s="1614"/>
      <c r="L52" s="1636"/>
      <c r="M52" s="1635">
        <v>300000</v>
      </c>
      <c r="N52" s="1614">
        <v>0</v>
      </c>
      <c r="O52" s="1634">
        <v>500000</v>
      </c>
      <c r="P52" s="1988"/>
      <c r="Q52" s="1827" t="s">
        <v>2564</v>
      </c>
    </row>
    <row r="53" spans="1:17" ht="12.75" customHeight="1" x14ac:dyDescent="0.25">
      <c r="A53" s="1985" t="s">
        <v>974</v>
      </c>
      <c r="B53" s="1826"/>
      <c r="C53" s="1839" t="s">
        <v>2518</v>
      </c>
      <c r="D53" s="1942"/>
      <c r="E53" s="1942" t="s">
        <v>2546</v>
      </c>
      <c r="F53" s="1914"/>
      <c r="G53" s="1986"/>
      <c r="H53" s="1987"/>
      <c r="I53" s="2342"/>
      <c r="J53" s="1616"/>
      <c r="K53" s="1614"/>
      <c r="L53" s="1636"/>
      <c r="M53" s="1635">
        <v>1000000</v>
      </c>
      <c r="N53" s="1614">
        <v>4000000</v>
      </c>
      <c r="O53" s="1634">
        <v>5000000</v>
      </c>
      <c r="P53" s="1988"/>
      <c r="Q53" s="1827" t="s">
        <v>2564</v>
      </c>
    </row>
    <row r="54" spans="1:17" ht="12.75" customHeight="1" x14ac:dyDescent="0.25">
      <c r="A54" s="1985" t="s">
        <v>974</v>
      </c>
      <c r="B54" s="1826"/>
      <c r="C54" s="1990" t="s">
        <v>2519</v>
      </c>
      <c r="D54" s="1940"/>
      <c r="E54" s="1940" t="s">
        <v>2547</v>
      </c>
      <c r="F54" s="1914"/>
      <c r="G54" s="1986"/>
      <c r="H54" s="1987"/>
      <c r="I54" s="2342"/>
      <c r="J54" s="1616"/>
      <c r="K54" s="1614"/>
      <c r="L54" s="1636"/>
      <c r="M54" s="1635">
        <v>500000</v>
      </c>
      <c r="N54" s="1614">
        <v>15000000</v>
      </c>
      <c r="O54" s="1634">
        <v>3000000</v>
      </c>
      <c r="P54" s="1988"/>
      <c r="Q54" s="1827" t="s">
        <v>2564</v>
      </c>
    </row>
    <row r="55" spans="1:17" ht="12.75" customHeight="1" x14ac:dyDescent="0.25">
      <c r="A55" s="1913" t="s">
        <v>974</v>
      </c>
      <c r="B55" s="1826"/>
      <c r="C55" s="1990" t="s">
        <v>2520</v>
      </c>
      <c r="D55" s="1940"/>
      <c r="E55" s="1940" t="s">
        <v>2548</v>
      </c>
      <c r="F55" s="1914"/>
      <c r="G55" s="1986"/>
      <c r="H55" s="1987"/>
      <c r="I55" s="2342"/>
      <c r="J55" s="1616"/>
      <c r="K55" s="1614"/>
      <c r="L55" s="1636"/>
      <c r="M55" s="1635">
        <v>10000000</v>
      </c>
      <c r="N55" s="1614">
        <v>300000</v>
      </c>
      <c r="O55" s="1634">
        <v>6000000</v>
      </c>
      <c r="P55" s="1988"/>
      <c r="Q55" s="1827" t="s">
        <v>2564</v>
      </c>
    </row>
    <row r="56" spans="1:17" ht="12.75" customHeight="1" x14ac:dyDescent="0.25">
      <c r="A56" s="1913" t="s">
        <v>974</v>
      </c>
      <c r="B56" s="1826"/>
      <c r="C56" s="1990" t="s">
        <v>2521</v>
      </c>
      <c r="D56" s="1940"/>
      <c r="E56" s="1940" t="s">
        <v>2549</v>
      </c>
      <c r="F56" s="1914"/>
      <c r="G56" s="1986"/>
      <c r="H56" s="1987"/>
      <c r="I56" s="2342"/>
      <c r="J56" s="1616"/>
      <c r="K56" s="1614"/>
      <c r="L56" s="1636"/>
      <c r="M56" s="1635">
        <v>8090850</v>
      </c>
      <c r="N56" s="1614">
        <v>7500000</v>
      </c>
      <c r="O56" s="1634">
        <v>7500000</v>
      </c>
      <c r="P56" s="1988"/>
      <c r="Q56" s="1827" t="s">
        <v>2564</v>
      </c>
    </row>
    <row r="57" spans="1:17" ht="12.75" customHeight="1" x14ac:dyDescent="0.25">
      <c r="A57" s="1991" t="s">
        <v>974</v>
      </c>
      <c r="B57" s="1826"/>
      <c r="C57" s="1990" t="s">
        <v>2522</v>
      </c>
      <c r="D57" s="1940"/>
      <c r="E57" s="1940" t="s">
        <v>2550</v>
      </c>
      <c r="F57" s="1914"/>
      <c r="G57" s="1986"/>
      <c r="H57" s="1987"/>
      <c r="I57" s="2342"/>
      <c r="J57" s="1616"/>
      <c r="K57" s="1614"/>
      <c r="L57" s="1636"/>
      <c r="M57" s="1635">
        <v>4500000</v>
      </c>
      <c r="N57" s="1614">
        <v>5000000</v>
      </c>
      <c r="O57" s="1634">
        <v>6000000</v>
      </c>
      <c r="P57" s="1988"/>
      <c r="Q57" s="1827" t="s">
        <v>2564</v>
      </c>
    </row>
    <row r="58" spans="1:17" ht="12.75" customHeight="1" x14ac:dyDescent="0.25">
      <c r="A58" s="1992" t="s">
        <v>974</v>
      </c>
      <c r="B58" s="1826"/>
      <c r="C58" s="1990" t="s">
        <v>2523</v>
      </c>
      <c r="D58" s="1940"/>
      <c r="E58" s="1940" t="s">
        <v>2551</v>
      </c>
      <c r="F58" s="1914"/>
      <c r="G58" s="1986"/>
      <c r="H58" s="1987"/>
      <c r="I58" s="2342"/>
      <c r="J58" s="1616"/>
      <c r="K58" s="1614"/>
      <c r="L58" s="1636"/>
      <c r="M58" s="1635">
        <v>2500000</v>
      </c>
      <c r="N58" s="1614">
        <v>2500000</v>
      </c>
      <c r="O58" s="1634">
        <v>3000000</v>
      </c>
      <c r="P58" s="1988"/>
      <c r="Q58" s="1827" t="s">
        <v>2564</v>
      </c>
    </row>
    <row r="59" spans="1:17" ht="12.75" customHeight="1" x14ac:dyDescent="0.25">
      <c r="A59" s="1913" t="s">
        <v>974</v>
      </c>
      <c r="B59" s="1826"/>
      <c r="C59" s="1990" t="s">
        <v>2445</v>
      </c>
      <c r="D59" s="1940"/>
      <c r="E59" s="1940" t="s">
        <v>2552</v>
      </c>
      <c r="F59" s="1914"/>
      <c r="G59" s="1986"/>
      <c r="H59" s="1987"/>
      <c r="I59" s="2342"/>
      <c r="J59" s="1616"/>
      <c r="K59" s="1614"/>
      <c r="L59" s="1636"/>
      <c r="M59" s="1635">
        <v>2000000</v>
      </c>
      <c r="N59" s="1614">
        <v>0</v>
      </c>
      <c r="O59" s="1634">
        <v>0</v>
      </c>
      <c r="P59" s="1988"/>
      <c r="Q59" s="1827" t="s">
        <v>2564</v>
      </c>
    </row>
    <row r="60" spans="1:17" ht="12.75" customHeight="1" x14ac:dyDescent="0.25">
      <c r="A60" s="1913" t="s">
        <v>974</v>
      </c>
      <c r="B60" s="1826"/>
      <c r="C60" s="1990" t="s">
        <v>2524</v>
      </c>
      <c r="D60" s="1940"/>
      <c r="E60" s="1940" t="s">
        <v>2553</v>
      </c>
      <c r="F60" s="1914"/>
      <c r="G60" s="1986"/>
      <c r="H60" s="1987"/>
      <c r="I60" s="2342"/>
      <c r="J60" s="1616"/>
      <c r="K60" s="1614"/>
      <c r="L60" s="1636"/>
      <c r="M60" s="1635">
        <v>2500000</v>
      </c>
      <c r="N60" s="1614">
        <v>0</v>
      </c>
      <c r="O60" s="1634">
        <v>0</v>
      </c>
      <c r="P60" s="1988"/>
      <c r="Q60" s="1827" t="s">
        <v>2564</v>
      </c>
    </row>
    <row r="61" spans="1:17" ht="12.75" customHeight="1" x14ac:dyDescent="0.25">
      <c r="A61" s="1913" t="s">
        <v>974</v>
      </c>
      <c r="B61" s="1826"/>
      <c r="C61" s="1990" t="s">
        <v>2525</v>
      </c>
      <c r="D61" s="1940"/>
      <c r="E61" s="1940" t="s">
        <v>2554</v>
      </c>
      <c r="F61" s="1914"/>
      <c r="G61" s="1986"/>
      <c r="H61" s="1987"/>
      <c r="I61" s="2342"/>
      <c r="J61" s="1616"/>
      <c r="K61" s="1614"/>
      <c r="L61" s="1636"/>
      <c r="M61" s="1635">
        <v>1500000</v>
      </c>
      <c r="N61" s="1614">
        <v>1500000</v>
      </c>
      <c r="O61" s="1634"/>
      <c r="P61" s="1988"/>
      <c r="Q61" s="1827" t="s">
        <v>2565</v>
      </c>
    </row>
    <row r="62" spans="1:17" ht="12.75" customHeight="1" x14ac:dyDescent="0.25">
      <c r="A62" s="1913" t="s">
        <v>974</v>
      </c>
      <c r="B62" s="1826"/>
      <c r="C62" s="1990" t="s">
        <v>2446</v>
      </c>
      <c r="D62" s="1940"/>
      <c r="E62" s="1940" t="s">
        <v>2555</v>
      </c>
      <c r="F62" s="1914"/>
      <c r="G62" s="1986"/>
      <c r="H62" s="1987"/>
      <c r="I62" s="2342"/>
      <c r="J62" s="1616"/>
      <c r="K62" s="1614"/>
      <c r="L62" s="1636"/>
      <c r="M62" s="1635">
        <v>2000000</v>
      </c>
      <c r="N62" s="1614">
        <v>2000000</v>
      </c>
      <c r="O62" s="1634">
        <v>0</v>
      </c>
      <c r="P62" s="1988"/>
      <c r="Q62" s="1827" t="s">
        <v>2564</v>
      </c>
    </row>
    <row r="63" spans="1:17" ht="12.75" customHeight="1" x14ac:dyDescent="0.25">
      <c r="A63" s="1913" t="s">
        <v>974</v>
      </c>
      <c r="B63" s="1826"/>
      <c r="C63" s="1990" t="s">
        <v>2447</v>
      </c>
      <c r="D63" s="1940"/>
      <c r="E63" s="1940" t="s">
        <v>2556</v>
      </c>
      <c r="F63" s="1914"/>
      <c r="G63" s="1986"/>
      <c r="H63" s="1987"/>
      <c r="I63" s="2342"/>
      <c r="J63" s="1616"/>
      <c r="K63" s="1614"/>
      <c r="L63" s="1636"/>
      <c r="M63" s="1635">
        <v>2500000</v>
      </c>
      <c r="N63" s="1614">
        <v>3000000</v>
      </c>
      <c r="O63" s="1634">
        <v>0</v>
      </c>
      <c r="P63" s="1988"/>
      <c r="Q63" s="1827" t="s">
        <v>2564</v>
      </c>
    </row>
    <row r="64" spans="1:17" ht="12.75" customHeight="1" x14ac:dyDescent="0.25">
      <c r="A64" s="1913" t="s">
        <v>974</v>
      </c>
      <c r="B64" s="1826"/>
      <c r="C64" s="1990" t="s">
        <v>2526</v>
      </c>
      <c r="D64" s="1940"/>
      <c r="E64" s="1940" t="s">
        <v>2557</v>
      </c>
      <c r="F64" s="1914"/>
      <c r="G64" s="1986"/>
      <c r="H64" s="1987"/>
      <c r="I64" s="2342"/>
      <c r="J64" s="1616"/>
      <c r="K64" s="1614"/>
      <c r="L64" s="1636"/>
      <c r="M64" s="1635">
        <v>2500000</v>
      </c>
      <c r="N64" s="1614">
        <v>3000000</v>
      </c>
      <c r="O64" s="1634"/>
      <c r="P64" s="1988"/>
      <c r="Q64" s="1827" t="s">
        <v>2564</v>
      </c>
    </row>
    <row r="65" spans="1:17" ht="12.75" customHeight="1" x14ac:dyDescent="0.25">
      <c r="A65" s="1913" t="s">
        <v>974</v>
      </c>
      <c r="B65" s="1826"/>
      <c r="C65" s="1990" t="s">
        <v>2448</v>
      </c>
      <c r="D65" s="1940"/>
      <c r="E65" s="1940" t="s">
        <v>2558</v>
      </c>
      <c r="F65" s="1914"/>
      <c r="G65" s="1986"/>
      <c r="H65" s="1987"/>
      <c r="I65" s="2342"/>
      <c r="J65" s="1616"/>
      <c r="K65" s="1614"/>
      <c r="L65" s="1636"/>
      <c r="M65" s="1635">
        <v>1000000</v>
      </c>
      <c r="N65" s="1614">
        <v>0</v>
      </c>
      <c r="O65" s="1634">
        <v>0</v>
      </c>
      <c r="P65" s="1988"/>
      <c r="Q65" s="1827" t="s">
        <v>2564</v>
      </c>
    </row>
    <row r="66" spans="1:17" ht="12.75" customHeight="1" x14ac:dyDescent="0.25">
      <c r="A66" s="1913" t="s">
        <v>974</v>
      </c>
      <c r="B66" s="1826"/>
      <c r="C66" s="1990" t="s">
        <v>2449</v>
      </c>
      <c r="D66" s="1940"/>
      <c r="E66" s="1940" t="s">
        <v>2559</v>
      </c>
      <c r="F66" s="1914"/>
      <c r="G66" s="1986"/>
      <c r="H66" s="1987"/>
      <c r="I66" s="2342"/>
      <c r="J66" s="1616"/>
      <c r="K66" s="1614"/>
      <c r="L66" s="1636"/>
      <c r="M66" s="1635">
        <v>1700000</v>
      </c>
      <c r="N66" s="1614">
        <v>0</v>
      </c>
      <c r="O66" s="1634">
        <v>0</v>
      </c>
      <c r="P66" s="1988"/>
      <c r="Q66" s="1827" t="s">
        <v>2564</v>
      </c>
    </row>
    <row r="67" spans="1:17" ht="12.75" customHeight="1" x14ac:dyDescent="0.25">
      <c r="A67" s="1913" t="s">
        <v>974</v>
      </c>
      <c r="B67" s="1826"/>
      <c r="C67" s="1990" t="s">
        <v>2450</v>
      </c>
      <c r="D67" s="1940"/>
      <c r="E67" s="1940" t="s">
        <v>2560</v>
      </c>
      <c r="F67" s="1914"/>
      <c r="G67" s="1986"/>
      <c r="H67" s="1987"/>
      <c r="I67" s="2342"/>
      <c r="J67" s="1616"/>
      <c r="K67" s="1614"/>
      <c r="L67" s="1636"/>
      <c r="M67" s="1635">
        <v>3500000</v>
      </c>
      <c r="N67" s="1614">
        <v>2000000</v>
      </c>
      <c r="O67" s="1634"/>
      <c r="P67" s="1988"/>
      <c r="Q67" s="1827" t="s">
        <v>2564</v>
      </c>
    </row>
    <row r="68" spans="1:17" ht="12.75" customHeight="1" x14ac:dyDescent="0.25">
      <c r="A68" s="1913" t="s">
        <v>974</v>
      </c>
      <c r="B68" s="1826"/>
      <c r="C68" s="1990" t="s">
        <v>2527</v>
      </c>
      <c r="D68" s="1940"/>
      <c r="E68" s="1940" t="s">
        <v>2561</v>
      </c>
      <c r="F68" s="1914"/>
      <c r="G68" s="1986"/>
      <c r="H68" s="1987"/>
      <c r="I68" s="2342"/>
      <c r="J68" s="1616"/>
      <c r="K68" s="1614"/>
      <c r="L68" s="1636"/>
      <c r="M68" s="1635">
        <v>2000000</v>
      </c>
      <c r="N68" s="1614">
        <v>6000000</v>
      </c>
      <c r="O68" s="1634">
        <v>2500000</v>
      </c>
      <c r="P68" s="1988"/>
      <c r="Q68" s="1827" t="s">
        <v>2564</v>
      </c>
    </row>
    <row r="69" spans="1:17" ht="15.75" customHeight="1" x14ac:dyDescent="0.25">
      <c r="A69" s="1913" t="s">
        <v>974</v>
      </c>
      <c r="B69" s="1826"/>
      <c r="C69" s="1990" t="s">
        <v>2451</v>
      </c>
      <c r="D69" s="1940"/>
      <c r="E69" s="1940" t="s">
        <v>2555</v>
      </c>
      <c r="F69" s="1914"/>
      <c r="G69" s="1986"/>
      <c r="H69" s="1987"/>
      <c r="I69" s="2342"/>
      <c r="J69" s="1616"/>
      <c r="K69" s="1614"/>
      <c r="L69" s="1636"/>
      <c r="M69" s="1635">
        <v>1500000</v>
      </c>
      <c r="N69" s="1614">
        <v>0</v>
      </c>
      <c r="O69" s="1634">
        <v>0</v>
      </c>
      <c r="P69" s="1988"/>
      <c r="Q69" s="1827" t="s">
        <v>2564</v>
      </c>
    </row>
    <row r="70" spans="1:17" ht="12.75" customHeight="1" x14ac:dyDescent="0.25">
      <c r="A70" s="1991" t="s">
        <v>974</v>
      </c>
      <c r="B70" s="1826"/>
      <c r="C70" s="1990" t="s">
        <v>2528</v>
      </c>
      <c r="D70" s="1940"/>
      <c r="E70" s="1940" t="s">
        <v>2562</v>
      </c>
      <c r="F70" s="1914"/>
      <c r="G70" s="1986"/>
      <c r="H70" s="1987"/>
      <c r="I70" s="2342"/>
      <c r="J70" s="1616"/>
      <c r="K70" s="1614"/>
      <c r="L70" s="1636"/>
      <c r="M70" s="1635">
        <v>2000000</v>
      </c>
      <c r="N70" s="1614">
        <v>0</v>
      </c>
      <c r="O70" s="1634">
        <v>0</v>
      </c>
      <c r="P70" s="1988"/>
      <c r="Q70" s="1827" t="s">
        <v>2564</v>
      </c>
    </row>
    <row r="71" spans="1:17" ht="12.75" customHeight="1" x14ac:dyDescent="0.25">
      <c r="A71" s="1992" t="s">
        <v>974</v>
      </c>
      <c r="B71" s="1826"/>
      <c r="C71" s="1990" t="s">
        <v>2529</v>
      </c>
      <c r="D71" s="1940"/>
      <c r="E71" s="1940" t="s">
        <v>2563</v>
      </c>
      <c r="F71" s="1914"/>
      <c r="G71" s="1986"/>
      <c r="H71" s="1987"/>
      <c r="I71" s="2342"/>
      <c r="J71" s="1616"/>
      <c r="K71" s="1614"/>
      <c r="L71" s="1636"/>
      <c r="M71" s="1635">
        <v>1500000</v>
      </c>
      <c r="N71" s="1614">
        <v>0</v>
      </c>
      <c r="O71" s="1634">
        <v>0</v>
      </c>
      <c r="P71" s="1988"/>
      <c r="Q71" s="1827" t="s">
        <v>2564</v>
      </c>
    </row>
    <row r="72" spans="1:17" ht="12.75" customHeight="1" x14ac:dyDescent="0.25">
      <c r="A72" s="1913" t="s">
        <v>974</v>
      </c>
      <c r="B72" s="1826"/>
      <c r="C72" s="1990" t="s">
        <v>2453</v>
      </c>
      <c r="D72" s="1940"/>
      <c r="E72" s="1940"/>
      <c r="F72" s="1914"/>
      <c r="G72" s="1986"/>
      <c r="H72" s="1987"/>
      <c r="I72" s="2342"/>
      <c r="J72" s="1616"/>
      <c r="K72" s="1614"/>
      <c r="L72" s="1636"/>
      <c r="M72" s="1635">
        <v>2500000</v>
      </c>
      <c r="N72" s="1614">
        <v>0</v>
      </c>
      <c r="O72" s="1634">
        <v>0</v>
      </c>
      <c r="P72" s="1988"/>
      <c r="Q72" s="1827" t="s">
        <v>2564</v>
      </c>
    </row>
    <row r="73" spans="1:17" ht="12.75" customHeight="1" x14ac:dyDescent="0.25">
      <c r="A73" s="1913" t="s">
        <v>974</v>
      </c>
      <c r="B73" s="1826"/>
      <c r="C73" s="1990" t="s">
        <v>2530</v>
      </c>
      <c r="D73" s="1940"/>
      <c r="E73" s="1940"/>
      <c r="F73" s="1914"/>
      <c r="G73" s="1986"/>
      <c r="H73" s="1987"/>
      <c r="I73" s="2342"/>
      <c r="J73" s="1616"/>
      <c r="K73" s="1614"/>
      <c r="L73" s="1636"/>
      <c r="M73" s="1635">
        <v>4000000</v>
      </c>
      <c r="N73" s="1614">
        <v>0</v>
      </c>
      <c r="O73" s="1634">
        <v>0</v>
      </c>
      <c r="P73" s="1988"/>
      <c r="Q73" s="1827" t="s">
        <v>2564</v>
      </c>
    </row>
    <row r="74" spans="1:17" ht="12.75" customHeight="1" x14ac:dyDescent="0.25">
      <c r="A74" s="1913" t="s">
        <v>974</v>
      </c>
      <c r="B74" s="1826"/>
      <c r="C74" s="1990" t="s">
        <v>2531</v>
      </c>
      <c r="D74" s="1940"/>
      <c r="E74" s="1940"/>
      <c r="F74" s="1914"/>
      <c r="G74" s="1986"/>
      <c r="H74" s="1987"/>
      <c r="I74" s="2342"/>
      <c r="J74" s="1616"/>
      <c r="K74" s="1614"/>
      <c r="L74" s="1636"/>
      <c r="M74" s="1635">
        <v>1700000</v>
      </c>
      <c r="N74" s="1614">
        <v>2000000</v>
      </c>
      <c r="O74" s="1634">
        <v>0</v>
      </c>
      <c r="P74" s="1988"/>
      <c r="Q74" s="1827" t="s">
        <v>2564</v>
      </c>
    </row>
    <row r="75" spans="1:17" ht="12.75" customHeight="1" x14ac:dyDescent="0.25">
      <c r="A75" s="1913" t="s">
        <v>974</v>
      </c>
      <c r="B75" s="1826"/>
      <c r="C75" s="1990" t="s">
        <v>2532</v>
      </c>
      <c r="D75" s="1940"/>
      <c r="E75" s="1940"/>
      <c r="F75" s="1914"/>
      <c r="G75" s="1986"/>
      <c r="H75" s="1987"/>
      <c r="I75" s="2342"/>
      <c r="J75" s="1616"/>
      <c r="K75" s="1614"/>
      <c r="L75" s="1636"/>
      <c r="M75" s="1635">
        <v>0</v>
      </c>
      <c r="N75" s="1614">
        <v>2500000</v>
      </c>
      <c r="O75" s="1634">
        <v>0</v>
      </c>
      <c r="P75" s="1988"/>
      <c r="Q75" s="1827" t="s">
        <v>2564</v>
      </c>
    </row>
    <row r="76" spans="1:17" ht="12.75" customHeight="1" x14ac:dyDescent="0.25">
      <c r="A76" s="1913" t="s">
        <v>974</v>
      </c>
      <c r="B76" s="1826"/>
      <c r="C76" s="1990" t="s">
        <v>2533</v>
      </c>
      <c r="D76" s="1940"/>
      <c r="E76" s="1940"/>
      <c r="F76" s="1914"/>
      <c r="G76" s="1986"/>
      <c r="H76" s="1987"/>
      <c r="I76" s="2342"/>
      <c r="J76" s="1616"/>
      <c r="K76" s="1614"/>
      <c r="L76" s="1636"/>
      <c r="M76" s="1635">
        <v>0</v>
      </c>
      <c r="N76" s="1614">
        <v>2500000</v>
      </c>
      <c r="O76" s="1634">
        <v>3000000</v>
      </c>
      <c r="P76" s="1988"/>
      <c r="Q76" s="1827" t="s">
        <v>2564</v>
      </c>
    </row>
    <row r="77" spans="1:17" ht="12.75" customHeight="1" x14ac:dyDescent="0.25">
      <c r="A77" s="1913" t="s">
        <v>974</v>
      </c>
      <c r="B77" s="1826"/>
      <c r="C77" s="1990" t="s">
        <v>2534</v>
      </c>
      <c r="D77" s="1940"/>
      <c r="E77" s="1940"/>
      <c r="F77" s="1914"/>
      <c r="G77" s="1986"/>
      <c r="H77" s="1987"/>
      <c r="I77" s="2342"/>
      <c r="J77" s="1616"/>
      <c r="K77" s="1614"/>
      <c r="L77" s="1636"/>
      <c r="M77" s="1635">
        <v>300000</v>
      </c>
      <c r="N77" s="1614">
        <v>300000</v>
      </c>
      <c r="O77" s="1634">
        <v>200000</v>
      </c>
      <c r="P77" s="1988"/>
      <c r="Q77" s="1827" t="s">
        <v>2564</v>
      </c>
    </row>
    <row r="78" spans="1:17" ht="12.75" customHeight="1" x14ac:dyDescent="0.25">
      <c r="A78" s="1913" t="s">
        <v>974</v>
      </c>
      <c r="B78" s="1826"/>
      <c r="C78" s="1990" t="s">
        <v>2535</v>
      </c>
      <c r="D78" s="1940"/>
      <c r="E78" s="1940"/>
      <c r="F78" s="1914"/>
      <c r="G78" s="1986"/>
      <c r="H78" s="1987"/>
      <c r="I78" s="2342"/>
      <c r="J78" s="1616"/>
      <c r="K78" s="1614"/>
      <c r="L78" s="1636"/>
      <c r="M78" s="1635">
        <v>8000000</v>
      </c>
      <c r="N78" s="1614">
        <v>8392000</v>
      </c>
      <c r="O78" s="1634">
        <v>9000000</v>
      </c>
      <c r="P78" s="1988"/>
      <c r="Q78" s="1827" t="s">
        <v>2565</v>
      </c>
    </row>
    <row r="79" spans="1:17" ht="12.75" customHeight="1" x14ac:dyDescent="0.25">
      <c r="A79" s="1913"/>
      <c r="B79" s="1826"/>
      <c r="C79" s="1990"/>
      <c r="D79" s="1940"/>
      <c r="E79" s="1940"/>
      <c r="F79" s="1914"/>
      <c r="G79" s="1986"/>
      <c r="H79" s="1987"/>
      <c r="I79" s="2342"/>
      <c r="J79" s="1616"/>
      <c r="K79" s="1614"/>
      <c r="L79" s="1636"/>
      <c r="M79" s="1635"/>
      <c r="N79" s="1614"/>
      <c r="O79" s="1634"/>
      <c r="P79" s="1988"/>
      <c r="Q79" s="1989"/>
    </row>
    <row r="80" spans="1:17" ht="12.75" customHeight="1" x14ac:dyDescent="0.25">
      <c r="A80" s="1991"/>
      <c r="B80" s="1826"/>
      <c r="C80" s="1990"/>
      <c r="D80" s="1940"/>
      <c r="E80" s="1940"/>
      <c r="F80" s="1914"/>
      <c r="G80" s="1986"/>
      <c r="H80" s="1987"/>
      <c r="I80" s="2342"/>
      <c r="J80" s="1616"/>
      <c r="K80" s="1614"/>
      <c r="L80" s="1636"/>
      <c r="M80" s="1635"/>
      <c r="N80" s="1614"/>
      <c r="O80" s="1634"/>
      <c r="P80" s="1988"/>
      <c r="Q80" s="1989"/>
    </row>
    <row r="81" spans="1:17" ht="12.75" customHeight="1" x14ac:dyDescent="0.25">
      <c r="A81" s="1992"/>
      <c r="B81" s="1826"/>
      <c r="C81" s="1990"/>
      <c r="D81" s="1940"/>
      <c r="E81" s="1940"/>
      <c r="F81" s="1914"/>
      <c r="G81" s="1986"/>
      <c r="H81" s="1987"/>
      <c r="I81" s="2342"/>
      <c r="J81" s="1616"/>
      <c r="K81" s="1614"/>
      <c r="L81" s="1636"/>
      <c r="M81" s="1635"/>
      <c r="N81" s="1614"/>
      <c r="O81" s="1634"/>
      <c r="P81" s="1988"/>
      <c r="Q81" s="1989"/>
    </row>
    <row r="82" spans="1:17" ht="12.75" customHeight="1" x14ac:dyDescent="0.25">
      <c r="A82" s="1913"/>
      <c r="B82" s="1826"/>
      <c r="C82" s="1990"/>
      <c r="D82" s="1940"/>
      <c r="E82" s="1940"/>
      <c r="F82" s="1914"/>
      <c r="G82" s="1986"/>
      <c r="H82" s="1987"/>
      <c r="I82" s="2342"/>
      <c r="J82" s="1616"/>
      <c r="K82" s="1614"/>
      <c r="L82" s="1636"/>
      <c r="M82" s="1635"/>
      <c r="N82" s="1614"/>
      <c r="O82" s="1634"/>
      <c r="P82" s="1988"/>
      <c r="Q82" s="1989"/>
    </row>
    <row r="83" spans="1:17" ht="12.75" customHeight="1" x14ac:dyDescent="0.25">
      <c r="A83" s="1991"/>
      <c r="B83" s="1826"/>
      <c r="C83" s="1990"/>
      <c r="D83" s="1661"/>
      <c r="E83" s="1661"/>
      <c r="F83" s="1914"/>
      <c r="G83" s="1986"/>
      <c r="H83" s="1987"/>
      <c r="I83" s="2342"/>
      <c r="J83" s="1616"/>
      <c r="K83" s="1614"/>
      <c r="L83" s="1636"/>
      <c r="M83" s="1635"/>
      <c r="N83" s="1614"/>
      <c r="O83" s="1634"/>
      <c r="P83" s="1988"/>
      <c r="Q83" s="1989"/>
    </row>
    <row r="84" spans="1:17" x14ac:dyDescent="0.25">
      <c r="A84" s="1991"/>
      <c r="B84" s="798">
        <v>1</v>
      </c>
      <c r="C84" s="2165"/>
      <c r="D84" s="2166"/>
      <c r="E84" s="2166"/>
      <c r="F84" s="2166"/>
      <c r="G84" s="2167"/>
      <c r="H84" s="2168"/>
      <c r="I84" s="2343"/>
      <c r="J84" s="279"/>
      <c r="K84" s="276"/>
      <c r="L84" s="275"/>
      <c r="M84" s="279">
        <f>SUM(M7:M83)</f>
        <v>475658405</v>
      </c>
      <c r="N84" s="276">
        <f>SUM(N7:N83)</f>
        <v>254271000</v>
      </c>
      <c r="O84" s="809">
        <f>SUM(O7:O83)</f>
        <v>242390000</v>
      </c>
      <c r="P84" s="2169">
        <f>SUM(P6:P83)</f>
        <v>0</v>
      </c>
      <c r="Q84" s="2170">
        <f>SUM(Q6:Q83)</f>
        <v>0</v>
      </c>
    </row>
    <row r="85" spans="1:17" x14ac:dyDescent="0.25">
      <c r="A85" s="797" t="s">
        <v>1990</v>
      </c>
      <c r="B85" s="350"/>
      <c r="C85" s="596"/>
      <c r="D85" s="954"/>
      <c r="E85" s="954"/>
      <c r="F85" s="954"/>
      <c r="G85" s="955"/>
      <c r="H85" s="956"/>
      <c r="I85" s="2341"/>
      <c r="J85" s="206"/>
      <c r="K85" s="203"/>
      <c r="L85" s="202"/>
      <c r="M85" s="205"/>
      <c r="N85" s="203"/>
      <c r="O85" s="204"/>
      <c r="P85" s="653"/>
      <c r="Q85" s="959"/>
    </row>
    <row r="86" spans="1:17" x14ac:dyDescent="0.25">
      <c r="A86" s="958"/>
      <c r="B86" s="350"/>
      <c r="C86" s="596"/>
      <c r="D86" s="954"/>
      <c r="E86" s="954"/>
      <c r="F86" s="954"/>
      <c r="G86" s="955"/>
      <c r="H86" s="956"/>
      <c r="I86" s="2341"/>
      <c r="J86" s="206"/>
      <c r="K86" s="203"/>
      <c r="L86" s="202"/>
      <c r="M86" s="205"/>
      <c r="N86" s="203"/>
      <c r="O86" s="204"/>
      <c r="P86" s="653"/>
      <c r="Q86" s="959"/>
    </row>
    <row r="87" spans="1:17" ht="11.25" customHeight="1" x14ac:dyDescent="0.25">
      <c r="A87" s="650" t="s">
        <v>16</v>
      </c>
      <c r="B87" s="350"/>
      <c r="C87" s="596"/>
      <c r="D87" s="954"/>
      <c r="E87" s="954"/>
      <c r="F87" s="954"/>
      <c r="G87" s="955"/>
      <c r="H87" s="956"/>
      <c r="I87" s="2341"/>
      <c r="J87" s="406"/>
      <c r="K87" s="315"/>
      <c r="L87" s="316"/>
      <c r="M87" s="317"/>
      <c r="N87" s="315"/>
      <c r="O87" s="318"/>
      <c r="P87" s="957"/>
      <c r="Q87" s="865"/>
    </row>
    <row r="88" spans="1:17" ht="5.15" customHeight="1" x14ac:dyDescent="0.25">
      <c r="A88" s="371" t="s">
        <v>1480</v>
      </c>
      <c r="B88" s="350"/>
      <c r="C88" s="596"/>
      <c r="D88" s="954"/>
      <c r="E88" s="954"/>
      <c r="F88" s="954"/>
      <c r="G88" s="955"/>
      <c r="H88" s="956"/>
      <c r="I88" s="2341"/>
      <c r="J88" s="206"/>
      <c r="K88" s="203"/>
      <c r="L88" s="202"/>
      <c r="M88" s="205"/>
      <c r="N88" s="203"/>
      <c r="O88" s="204"/>
      <c r="P88" s="653"/>
      <c r="Q88" s="959"/>
    </row>
    <row r="89" spans="1:17" ht="11.25" customHeight="1" x14ac:dyDescent="0.25">
      <c r="A89" s="958"/>
      <c r="B89" s="1826"/>
      <c r="C89" s="1839"/>
      <c r="D89" s="1942"/>
      <c r="E89" s="1942"/>
      <c r="F89" s="1914"/>
      <c r="G89" s="1986"/>
      <c r="H89" s="1987"/>
      <c r="I89" s="2342"/>
      <c r="J89" s="1616"/>
      <c r="K89" s="1614"/>
      <c r="L89" s="1636"/>
      <c r="M89" s="1635"/>
      <c r="N89" s="1614"/>
      <c r="O89" s="1634"/>
      <c r="P89" s="1988"/>
      <c r="Q89" s="1989"/>
    </row>
    <row r="90" spans="1:17" ht="11.25" customHeight="1" x14ac:dyDescent="0.25">
      <c r="A90" s="1992" t="s">
        <v>1481</v>
      </c>
      <c r="B90" s="1826"/>
      <c r="C90" s="1990"/>
      <c r="D90" s="1940"/>
      <c r="E90" s="1940"/>
      <c r="F90" s="1914"/>
      <c r="G90" s="1986"/>
      <c r="H90" s="1987"/>
      <c r="I90" s="2342"/>
      <c r="J90" s="1616"/>
      <c r="K90" s="1614"/>
      <c r="L90" s="1636"/>
      <c r="M90" s="1635"/>
      <c r="N90" s="1614"/>
      <c r="O90" s="1634"/>
      <c r="P90" s="1988"/>
      <c r="Q90" s="1989"/>
    </row>
    <row r="91" spans="1:17" ht="5.15" customHeight="1" x14ac:dyDescent="0.25">
      <c r="A91" s="1913" t="s">
        <v>1482</v>
      </c>
      <c r="B91" s="1826"/>
      <c r="C91" s="1990"/>
      <c r="D91" s="1940"/>
      <c r="E91" s="1940"/>
      <c r="F91" s="1914"/>
      <c r="G91" s="1986"/>
      <c r="H91" s="1987"/>
      <c r="I91" s="2342"/>
      <c r="J91" s="1616"/>
      <c r="K91" s="1614"/>
      <c r="L91" s="1636"/>
      <c r="M91" s="1635"/>
      <c r="N91" s="1614"/>
      <c r="O91" s="1634"/>
      <c r="P91" s="1988"/>
      <c r="Q91" s="1989"/>
    </row>
    <row r="92" spans="1:17" ht="11.25" customHeight="1" x14ac:dyDescent="0.25">
      <c r="A92" s="1991"/>
      <c r="B92" s="1826"/>
      <c r="C92" s="1990"/>
      <c r="D92" s="1940"/>
      <c r="E92" s="1940"/>
      <c r="F92" s="1914"/>
      <c r="G92" s="1986"/>
      <c r="H92" s="1987"/>
      <c r="I92" s="2342"/>
      <c r="J92" s="1616"/>
      <c r="K92" s="1614"/>
      <c r="L92" s="1636"/>
      <c r="M92" s="1635"/>
      <c r="N92" s="1614"/>
      <c r="O92" s="1634"/>
      <c r="P92" s="1988"/>
      <c r="Q92" s="1989"/>
    </row>
    <row r="93" spans="1:17" ht="11.25" customHeight="1" x14ac:dyDescent="0.25">
      <c r="A93" s="1992" t="s">
        <v>1483</v>
      </c>
      <c r="B93" s="1826"/>
      <c r="C93" s="1990"/>
      <c r="D93" s="1940"/>
      <c r="E93" s="1940"/>
      <c r="F93" s="1914"/>
      <c r="G93" s="1986"/>
      <c r="H93" s="1987"/>
      <c r="I93" s="2342"/>
      <c r="J93" s="1616"/>
      <c r="K93" s="1614"/>
      <c r="L93" s="1636"/>
      <c r="M93" s="1635"/>
      <c r="N93" s="1614"/>
      <c r="O93" s="1634"/>
      <c r="P93" s="1988"/>
      <c r="Q93" s="1989"/>
    </row>
    <row r="94" spans="1:17" ht="11.25" customHeight="1" x14ac:dyDescent="0.25">
      <c r="A94" s="1913" t="s">
        <v>1484</v>
      </c>
      <c r="B94" s="1826"/>
      <c r="C94" s="1990"/>
      <c r="D94" s="1940"/>
      <c r="E94" s="1940"/>
      <c r="F94" s="1914"/>
      <c r="G94" s="1986"/>
      <c r="H94" s="1987"/>
      <c r="I94" s="2342"/>
      <c r="J94" s="1616"/>
      <c r="K94" s="1614"/>
      <c r="L94" s="1636"/>
      <c r="M94" s="1635"/>
      <c r="N94" s="1614"/>
      <c r="O94" s="1634"/>
      <c r="P94" s="1988"/>
      <c r="Q94" s="1989"/>
    </row>
    <row r="95" spans="1:17" ht="11.25" customHeight="1" x14ac:dyDescent="0.25">
      <c r="A95" s="1913"/>
      <c r="B95" s="1826"/>
      <c r="C95" s="1990"/>
      <c r="D95" s="1661"/>
      <c r="E95" s="1661"/>
      <c r="F95" s="1914"/>
      <c r="G95" s="1986"/>
      <c r="H95" s="1987"/>
      <c r="I95" s="2342"/>
      <c r="J95" s="1616"/>
      <c r="K95" s="1614"/>
      <c r="L95" s="1636"/>
      <c r="M95" s="1635"/>
      <c r="N95" s="1614"/>
      <c r="O95" s="1634"/>
      <c r="P95" s="1988"/>
      <c r="Q95" s="1989"/>
    </row>
    <row r="96" spans="1:17" ht="11.25" customHeight="1" x14ac:dyDescent="0.25">
      <c r="A96" s="1913"/>
      <c r="B96" s="1826"/>
      <c r="C96" s="1990"/>
      <c r="D96" s="1661"/>
      <c r="E96" s="1661"/>
      <c r="F96" s="1914"/>
      <c r="G96" s="1986"/>
      <c r="H96" s="1987"/>
      <c r="I96" s="2342"/>
      <c r="J96" s="1616"/>
      <c r="K96" s="1614"/>
      <c r="L96" s="1636"/>
      <c r="M96" s="1635"/>
      <c r="N96" s="1614"/>
      <c r="O96" s="1634"/>
      <c r="P96" s="1988"/>
      <c r="Q96" s="1989"/>
    </row>
    <row r="97" spans="1:17" x14ac:dyDescent="0.25">
      <c r="A97" s="1991"/>
      <c r="B97" s="798"/>
      <c r="C97" s="2198"/>
      <c r="D97" s="2197"/>
      <c r="E97" s="2203"/>
      <c r="F97" s="2203"/>
      <c r="G97" s="2203"/>
      <c r="H97" s="2203"/>
      <c r="I97" s="2170"/>
      <c r="J97" s="279"/>
      <c r="K97" s="276">
        <f>SUM(K89:K96)</f>
        <v>0</v>
      </c>
      <c r="L97" s="809">
        <f>SUM(L89:L96)</f>
        <v>0</v>
      </c>
      <c r="M97" s="279">
        <f>SUM(M89:M96)</f>
        <v>0</v>
      </c>
      <c r="N97" s="276">
        <f>SUM(N89:N96)</f>
        <v>0</v>
      </c>
      <c r="O97" s="809">
        <f>SUM(O89:O96)</f>
        <v>0</v>
      </c>
      <c r="P97" s="2202"/>
      <c r="Q97" s="2201"/>
    </row>
    <row r="98" spans="1:17" x14ac:dyDescent="0.25">
      <c r="A98" s="2167" t="s">
        <v>1989</v>
      </c>
      <c r="B98" s="798"/>
      <c r="C98" s="2198"/>
      <c r="D98" s="2197"/>
      <c r="E98" s="2203"/>
      <c r="F98" s="2203"/>
      <c r="G98" s="2203"/>
      <c r="H98" s="2203"/>
      <c r="I98" s="2170"/>
      <c r="J98" s="2199"/>
      <c r="K98" s="230">
        <f>SUM(K7:K83)+SUM(K89:K96)</f>
        <v>0</v>
      </c>
      <c r="L98" s="2200">
        <f>SUM(L7:L83)+SUM(L89:L96)</f>
        <v>0</v>
      </c>
      <c r="M98" s="232">
        <f>SUM(M7:M83)+SUM(M89:M96)</f>
        <v>475658405</v>
      </c>
      <c r="N98" s="230">
        <f>SUM(N7:N83)+SUM(N89:N96)</f>
        <v>254271000</v>
      </c>
      <c r="O98" s="2200">
        <f>SUM(O7:O83)+SUM(O89:O96)</f>
        <v>242390000</v>
      </c>
      <c r="P98" s="595"/>
      <c r="Q98" s="241"/>
    </row>
    <row r="99" spans="1:17" s="709" customFormat="1" ht="11.25" customHeight="1" x14ac:dyDescent="0.25">
      <c r="A99" s="2167" t="s">
        <v>923</v>
      </c>
      <c r="C99" s="1061"/>
      <c r="Q99" s="1086"/>
    </row>
    <row r="100" spans="1:17" s="709" customFormat="1" ht="11.25" customHeight="1" x14ac:dyDescent="0.25">
      <c r="A100" s="1232" t="str">
        <f>head27a</f>
        <v>References</v>
      </c>
    </row>
    <row r="101" spans="1:17" s="709" customFormat="1" ht="11.25" customHeight="1" x14ac:dyDescent="0.25">
      <c r="A101" s="1194" t="s">
        <v>1539</v>
      </c>
    </row>
    <row r="102" spans="1:17" s="709" customFormat="1" ht="11.25" customHeight="1" x14ac:dyDescent="0.25">
      <c r="A102" s="1194" t="s">
        <v>2259</v>
      </c>
    </row>
    <row r="103" spans="1:17" s="709" customFormat="1" ht="11.25" customHeight="1" x14ac:dyDescent="0.25">
      <c r="A103" s="1194" t="s">
        <v>1991</v>
      </c>
    </row>
    <row r="104" spans="1:17" ht="11.25" customHeight="1" x14ac:dyDescent="0.25">
      <c r="A104" s="149" t="s">
        <v>1992</v>
      </c>
      <c r="B104" s="149"/>
    </row>
    <row r="105" spans="1:17" x14ac:dyDescent="0.25">
      <c r="A105" s="149" t="s">
        <v>2072</v>
      </c>
      <c r="B105" s="149"/>
      <c r="J105" s="149" t="s">
        <v>547</v>
      </c>
      <c r="K105" s="362">
        <f>SUM(SA34a!E77+SA34b!E77)-'SA36'!K98</f>
        <v>0</v>
      </c>
    </row>
    <row r="106" spans="1:17" ht="11.25" customHeight="1" x14ac:dyDescent="0.25">
      <c r="A106" s="149" t="s">
        <v>2256</v>
      </c>
      <c r="B106" s="149"/>
    </row>
    <row r="107" spans="1:17" ht="11.25" customHeight="1" x14ac:dyDescent="0.25">
      <c r="B107" s="149"/>
    </row>
    <row r="108" spans="1:17" ht="11.25" customHeight="1" x14ac:dyDescent="0.25">
      <c r="B108" s="149"/>
    </row>
    <row r="109" spans="1:17" ht="11.25" customHeight="1" x14ac:dyDescent="0.25">
      <c r="B109" s="149"/>
    </row>
    <row r="110" spans="1:17" ht="11.25" customHeight="1" x14ac:dyDescent="0.25">
      <c r="B110" s="149"/>
    </row>
    <row r="111" spans="1:17" ht="11.25" customHeight="1" x14ac:dyDescent="0.25">
      <c r="B111" s="149"/>
    </row>
    <row r="112" spans="1:17" ht="11.25" customHeight="1" x14ac:dyDescent="0.25">
      <c r="B112" s="149"/>
    </row>
    <row r="113" spans="2:2" ht="11.25" customHeight="1" x14ac:dyDescent="0.25">
      <c r="B113" s="149"/>
    </row>
    <row r="114" spans="2:2" ht="11.25" customHeight="1" x14ac:dyDescent="0.25">
      <c r="B114" s="149"/>
    </row>
    <row r="115" spans="2:2" ht="11.25" customHeight="1" x14ac:dyDescent="0.25">
      <c r="B115" s="149"/>
    </row>
    <row r="116" spans="2:2" ht="11.25" customHeight="1" x14ac:dyDescent="0.25">
      <c r="B116" s="149"/>
    </row>
    <row r="117" spans="2:2" ht="11.25" customHeight="1" x14ac:dyDescent="0.25">
      <c r="B117" s="149"/>
    </row>
    <row r="118" spans="2:2" ht="11.25" customHeight="1" x14ac:dyDescent="0.25">
      <c r="B118" s="149"/>
    </row>
    <row r="119" spans="2:2" ht="11.25" customHeight="1" x14ac:dyDescent="0.25">
      <c r="B119" s="149"/>
    </row>
    <row r="120" spans="2:2" ht="11.25" customHeight="1" x14ac:dyDescent="0.25">
      <c r="B120" s="149"/>
    </row>
    <row r="121" spans="2:2" ht="11.25" customHeight="1" x14ac:dyDescent="0.25">
      <c r="B121" s="149"/>
    </row>
    <row r="122" spans="2:2" ht="11.25" customHeight="1" x14ac:dyDescent="0.25">
      <c r="B122" s="149"/>
    </row>
    <row r="123" spans="2:2" ht="11.25" customHeight="1" x14ac:dyDescent="0.25">
      <c r="B123" s="149"/>
    </row>
    <row r="124" spans="2:2" ht="11.25" customHeight="1" x14ac:dyDescent="0.25">
      <c r="B124" s="149"/>
    </row>
    <row r="125" spans="2:2" ht="11.25" customHeight="1" x14ac:dyDescent="0.25">
      <c r="B125" s="149"/>
    </row>
    <row r="126" spans="2:2" ht="11.25" customHeight="1" x14ac:dyDescent="0.25">
      <c r="B126" s="149"/>
    </row>
    <row r="127" spans="2:2" ht="11.25" customHeight="1" x14ac:dyDescent="0.25">
      <c r="B127" s="149"/>
    </row>
    <row r="128" spans="2:2" ht="11.25" customHeight="1" x14ac:dyDescent="0.25">
      <c r="B128" s="149"/>
    </row>
    <row r="129" spans="2:2" x14ac:dyDescent="0.25">
      <c r="B129" s="149"/>
    </row>
    <row r="130" spans="2:2" x14ac:dyDescent="0.25">
      <c r="B130" s="149"/>
    </row>
    <row r="131" spans="2:2" ht="11.25" customHeight="1" x14ac:dyDescent="0.25">
      <c r="B131" s="149"/>
    </row>
    <row r="132" spans="2:2" ht="22.5" customHeight="1" x14ac:dyDescent="0.25">
      <c r="B132" s="149"/>
    </row>
    <row r="133" spans="2:2" x14ac:dyDescent="0.25">
      <c r="B133" s="149"/>
    </row>
    <row r="134" spans="2:2" x14ac:dyDescent="0.25">
      <c r="B134" s="149"/>
    </row>
    <row r="135" spans="2:2" ht="11.25" customHeight="1" x14ac:dyDescent="0.25">
      <c r="B135" s="149"/>
    </row>
    <row r="136" spans="2:2" ht="11.25" customHeight="1" x14ac:dyDescent="0.25">
      <c r="B136" s="149"/>
    </row>
    <row r="137" spans="2:2" ht="11.25" customHeight="1" x14ac:dyDescent="0.25">
      <c r="B137" s="149"/>
    </row>
    <row r="138" spans="2:2" ht="11.25" customHeight="1" x14ac:dyDescent="0.25">
      <c r="B138" s="149"/>
    </row>
    <row r="139" spans="2:2" ht="11.25" customHeight="1" x14ac:dyDescent="0.25">
      <c r="B139" s="149"/>
    </row>
    <row r="140" spans="2:2" ht="11.25" customHeight="1" x14ac:dyDescent="0.25">
      <c r="B140" s="149"/>
    </row>
    <row r="141" spans="2:2" ht="11.25" customHeight="1" x14ac:dyDescent="0.25">
      <c r="B141" s="149"/>
    </row>
    <row r="142" spans="2:2" ht="11.25" customHeight="1" x14ac:dyDescent="0.25">
      <c r="B142" s="149"/>
    </row>
    <row r="143" spans="2:2" ht="11.25" customHeight="1" x14ac:dyDescent="0.25">
      <c r="B143" s="149"/>
    </row>
    <row r="144" spans="2:2" ht="11.25" customHeight="1" x14ac:dyDescent="0.25">
      <c r="B144" s="149"/>
    </row>
    <row r="145" spans="2:2" ht="11.25" customHeight="1" x14ac:dyDescent="0.25">
      <c r="B145" s="149"/>
    </row>
    <row r="146" spans="2:2" ht="11.25" customHeight="1" x14ac:dyDescent="0.25">
      <c r="B146" s="149"/>
    </row>
    <row r="147" spans="2:2" ht="11.25" customHeight="1" x14ac:dyDescent="0.25">
      <c r="B147" s="149"/>
    </row>
    <row r="148" spans="2:2" ht="11.25" customHeight="1" x14ac:dyDescent="0.25">
      <c r="B148" s="149"/>
    </row>
    <row r="149" spans="2:2" ht="11.25" customHeight="1" x14ac:dyDescent="0.25">
      <c r="B149" s="149"/>
    </row>
    <row r="150" spans="2:2" ht="11.25" customHeight="1" x14ac:dyDescent="0.25">
      <c r="B150" s="149"/>
    </row>
    <row r="151" spans="2:2" ht="11.25" customHeight="1" x14ac:dyDescent="0.25">
      <c r="B151" s="149"/>
    </row>
    <row r="152" spans="2:2" ht="11.25" customHeight="1" x14ac:dyDescent="0.25">
      <c r="B152" s="149"/>
    </row>
    <row r="153" spans="2:2" ht="11.25" customHeight="1" x14ac:dyDescent="0.25">
      <c r="B153" s="149"/>
    </row>
    <row r="154" spans="2:2" ht="11.25" customHeight="1" x14ac:dyDescent="0.25">
      <c r="B154" s="149"/>
    </row>
    <row r="155" spans="2:2" ht="11.25" customHeight="1" x14ac:dyDescent="0.25">
      <c r="B155" s="149"/>
    </row>
    <row r="156" spans="2:2" ht="11.25" customHeight="1" x14ac:dyDescent="0.25">
      <c r="B156" s="149"/>
    </row>
    <row r="157" spans="2:2" ht="11.25" customHeight="1" x14ac:dyDescent="0.25">
      <c r="B157" s="149"/>
    </row>
    <row r="158" spans="2:2" ht="11.25" customHeight="1" x14ac:dyDescent="0.25">
      <c r="B158" s="149"/>
    </row>
    <row r="159" spans="2:2" ht="11.25" customHeight="1" x14ac:dyDescent="0.25">
      <c r="B159" s="149"/>
    </row>
    <row r="160" spans="2:2" ht="11.25" customHeight="1" x14ac:dyDescent="0.25">
      <c r="B160" s="149"/>
    </row>
    <row r="161" spans="2:2" ht="11.25" customHeight="1" x14ac:dyDescent="0.25">
      <c r="B161" s="149"/>
    </row>
    <row r="162" spans="2:2" ht="11.25" customHeight="1" x14ac:dyDescent="0.25">
      <c r="B162" s="149"/>
    </row>
    <row r="163" spans="2:2" ht="11.25" customHeight="1" x14ac:dyDescent="0.25">
      <c r="B163" s="149"/>
    </row>
    <row r="164" spans="2:2" ht="11.25" customHeight="1" x14ac:dyDescent="0.25">
      <c r="B164" s="149"/>
    </row>
    <row r="165" spans="2:2" ht="11.25" customHeight="1" x14ac:dyDescent="0.25">
      <c r="B165" s="149"/>
    </row>
    <row r="166" spans="2:2" ht="11.25" customHeight="1" x14ac:dyDescent="0.25">
      <c r="B166" s="149"/>
    </row>
    <row r="167" spans="2:2" ht="11.25" customHeight="1" x14ac:dyDescent="0.25">
      <c r="B167" s="149"/>
    </row>
    <row r="168" spans="2:2" ht="11.25" customHeight="1" x14ac:dyDescent="0.25">
      <c r="B168" s="149"/>
    </row>
    <row r="169" spans="2:2" ht="11.25" customHeight="1" x14ac:dyDescent="0.25">
      <c r="B169" s="149"/>
    </row>
    <row r="170" spans="2:2" ht="11.25" customHeight="1" x14ac:dyDescent="0.25">
      <c r="B170" s="149"/>
    </row>
    <row r="171" spans="2:2" ht="11.25" customHeight="1" x14ac:dyDescent="0.25">
      <c r="B171" s="149"/>
    </row>
    <row r="172" spans="2:2" x14ac:dyDescent="0.25">
      <c r="B172" s="149"/>
    </row>
    <row r="173" spans="2:2" x14ac:dyDescent="0.25">
      <c r="B173" s="149"/>
    </row>
    <row r="174" spans="2:2" x14ac:dyDescent="0.25">
      <c r="B174" s="149"/>
    </row>
    <row r="175" spans="2:2" x14ac:dyDescent="0.25">
      <c r="B175" s="149"/>
    </row>
    <row r="176" spans="2:2" x14ac:dyDescent="0.25">
      <c r="B176" s="149"/>
    </row>
    <row r="177" spans="2:2" x14ac:dyDescent="0.25">
      <c r="B177" s="149"/>
    </row>
    <row r="178" spans="2:2" x14ac:dyDescent="0.25">
      <c r="B178" s="149"/>
    </row>
    <row r="179" spans="2:2" x14ac:dyDescent="0.25">
      <c r="B179" s="149"/>
    </row>
    <row r="180" spans="2:2" x14ac:dyDescent="0.25">
      <c r="B180" s="149"/>
    </row>
    <row r="181" spans="2:2" x14ac:dyDescent="0.25">
      <c r="B181" s="149"/>
    </row>
    <row r="182" spans="2:2" x14ac:dyDescent="0.25">
      <c r="B182" s="149"/>
    </row>
    <row r="183" spans="2:2" x14ac:dyDescent="0.25">
      <c r="B183" s="149"/>
    </row>
    <row r="184" spans="2:2" x14ac:dyDescent="0.25">
      <c r="B184" s="149"/>
    </row>
    <row r="185" spans="2:2" x14ac:dyDescent="0.25">
      <c r="B185" s="149"/>
    </row>
    <row r="186" spans="2:2" x14ac:dyDescent="0.25">
      <c r="B186" s="149"/>
    </row>
    <row r="187" spans="2:2" x14ac:dyDescent="0.25">
      <c r="B187" s="149"/>
    </row>
    <row r="188" spans="2:2" x14ac:dyDescent="0.25">
      <c r="B188" s="149"/>
    </row>
    <row r="189" spans="2:2" x14ac:dyDescent="0.25">
      <c r="B189" s="149"/>
    </row>
    <row r="190" spans="2:2" x14ac:dyDescent="0.25">
      <c r="B190" s="149"/>
    </row>
    <row r="191" spans="2:2" x14ac:dyDescent="0.25">
      <c r="B191" s="149"/>
    </row>
    <row r="192" spans="2:2" x14ac:dyDescent="0.25">
      <c r="B192" s="149"/>
    </row>
    <row r="193" spans="2:2" x14ac:dyDescent="0.25">
      <c r="B193" s="149"/>
    </row>
    <row r="194" spans="2:2" x14ac:dyDescent="0.25">
      <c r="B194" s="149"/>
    </row>
  </sheetData>
  <mergeCells count="7">
    <mergeCell ref="P2:Q2"/>
    <mergeCell ref="C2:C3"/>
    <mergeCell ref="D2:D3"/>
    <mergeCell ref="E2:E3"/>
    <mergeCell ref="K2:L2"/>
    <mergeCell ref="J2:J3"/>
    <mergeCell ref="M2:O2"/>
  </mergeCells>
  <phoneticPr fontId="2" type="noConversion"/>
  <dataValidations xWindow="526" yWindow="412" count="3">
    <dataValidation type="list" allowBlank="1" showInputMessage="1" showErrorMessage="1" promptTitle="Select Asset Class" prompt="Select asset class from list" sqref="G89:G96 G7:G83">
      <formula1>Asset_Class</formula1>
    </dataValidation>
    <dataValidation type="list" allowBlank="1" showInputMessage="1" showErrorMessage="1" promptTitle="Select Asset Sub-Class" prompt="Select asset sub class from list" sqref="H89:H96 H7:H83">
      <formula1>Asset_sub_class</formula1>
    </dataValidation>
    <dataValidation type="list" allowBlank="1" showInputMessage="1" showErrorMessage="1" promptTitle="Yes/No" prompt="Please select" sqref="F89:F96 F53:F83">
      <formula1>List1</formula1>
    </dataValidation>
  </dataValidations>
  <printOptions horizontalCentered="1"/>
  <pageMargins left="0" right="0" top="0.78740157480314965" bottom="0.59055118110236227" header="0.51181102362204722" footer="0.39370078740157483"/>
  <pageSetup paperSize="9" scale="61" fitToHeight="2"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enableFormatConditionsCalculation="0">
    <tabColor indexed="42"/>
    <pageSetUpPr fitToPage="1"/>
  </sheetPr>
  <dimension ref="A1:M80"/>
  <sheetViews>
    <sheetView showGridLines="0" view="pageBreakPreview" zoomScale="112" zoomScaleNormal="100" zoomScaleSheetLayoutView="112" workbookViewId="0">
      <pane xSplit="3" ySplit="4" topLeftCell="D17" activePane="bottomRight" state="frozen"/>
      <selection pane="topRight"/>
      <selection pane="bottomLeft"/>
      <selection pane="bottomRight" activeCell="C22" sqref="C22"/>
    </sheetView>
  </sheetViews>
  <sheetFormatPr defaultColWidth="9.1796875" defaultRowHeight="10.5" x14ac:dyDescent="0.25"/>
  <cols>
    <col min="1" max="1" width="26.453125" style="149" customWidth="1"/>
    <col min="2" max="2" width="4.7265625" style="972" customWidth="1"/>
    <col min="3" max="3" width="26.453125" style="149" customWidth="1"/>
    <col min="4" max="4" width="6.453125" style="149" customWidth="1"/>
    <col min="5" max="6" width="26.453125" style="149" customWidth="1"/>
    <col min="7" max="7" width="17.7265625" style="149" customWidth="1"/>
    <col min="8" max="13" width="9.26953125" style="149" customWidth="1"/>
    <col min="14" max="14" width="7.453125" style="149" bestFit="1" customWidth="1"/>
    <col min="15" max="15" width="9.81640625" style="149" customWidth="1"/>
    <col min="16" max="16" width="9.54296875" style="149" customWidth="1"/>
    <col min="17" max="17" width="9.81640625" style="149" customWidth="1"/>
    <col min="18" max="20" width="9.54296875" style="149" customWidth="1"/>
    <col min="21" max="21" width="9.81640625" style="149" customWidth="1"/>
    <col min="22" max="24" width="9.54296875" style="149" customWidth="1"/>
    <col min="25" max="26" width="9.81640625" style="149" customWidth="1"/>
    <col min="27" max="16384" width="9.1796875" style="149"/>
  </cols>
  <sheetData>
    <row r="1" spans="1:13" ht="13.5" customHeight="1" x14ac:dyDescent="0.3">
      <c r="A1" s="147" t="str">
        <f>muni&amp;" - "&amp;TableA37</f>
        <v>KZN225 Msunduzi - Supporting Table SA37 Consolidated projects delayed from previous financial year/s</v>
      </c>
      <c r="B1" s="2180"/>
      <c r="C1" s="147"/>
      <c r="D1" s="147"/>
      <c r="E1" s="147"/>
      <c r="F1" s="147"/>
      <c r="G1" s="147"/>
      <c r="H1" s="147"/>
      <c r="I1" s="147"/>
      <c r="J1" s="147"/>
      <c r="K1" s="147"/>
      <c r="L1" s="147"/>
      <c r="M1" s="147"/>
    </row>
    <row r="2" spans="1:13" ht="23.25" customHeight="1" x14ac:dyDescent="0.25">
      <c r="A2" s="2755" t="s">
        <v>965</v>
      </c>
      <c r="B2" s="2181" t="s">
        <v>1988</v>
      </c>
      <c r="C2" s="2758" t="s">
        <v>1358</v>
      </c>
      <c r="D2" s="2725" t="s">
        <v>1359</v>
      </c>
      <c r="E2" s="2725" t="s">
        <v>2074</v>
      </c>
      <c r="F2" s="2751" t="s">
        <v>2073</v>
      </c>
      <c r="G2" s="2710" t="s">
        <v>2076</v>
      </c>
      <c r="H2" s="2751" t="str">
        <f>Head47</f>
        <v>Previous target year to complete</v>
      </c>
      <c r="I2" s="2744" t="str">
        <f>Head2</f>
        <v>Current Year 2012/13</v>
      </c>
      <c r="J2" s="2675"/>
      <c r="K2" s="2674" t="str">
        <f>Head3</f>
        <v>2013/14 Medium Term Revenue &amp; Expenditure Framework</v>
      </c>
      <c r="L2" s="2675"/>
      <c r="M2" s="2676"/>
    </row>
    <row r="3" spans="1:13" ht="21" x14ac:dyDescent="0.25">
      <c r="A3" s="2756"/>
      <c r="B3" s="2196" t="s">
        <v>1942</v>
      </c>
      <c r="C3" s="2759"/>
      <c r="D3" s="2761" t="s">
        <v>1789</v>
      </c>
      <c r="E3" s="2761"/>
      <c r="F3" s="2757"/>
      <c r="G3" s="2763"/>
      <c r="H3" s="2757"/>
      <c r="I3" s="660" t="str">
        <f>Head6</f>
        <v>Original Budget</v>
      </c>
      <c r="J3" s="961" t="str">
        <f>Head8</f>
        <v>Full Year Forecast</v>
      </c>
      <c r="K3" s="151" t="str">
        <f>Head9</f>
        <v>Budget Year 2013/14</v>
      </c>
      <c r="L3" s="152" t="str">
        <f>Head10</f>
        <v>Budget Year +1 2014/15</v>
      </c>
      <c r="M3" s="153" t="str">
        <f>Head11</f>
        <v>Budget Year +2 2015/16</v>
      </c>
    </row>
    <row r="4" spans="1:13" ht="11.25" customHeight="1" x14ac:dyDescent="0.25">
      <c r="A4" s="180" t="s">
        <v>665</v>
      </c>
      <c r="B4" s="2182"/>
      <c r="C4" s="2760"/>
      <c r="D4" s="2726" t="s">
        <v>1016</v>
      </c>
      <c r="E4" s="2726"/>
      <c r="F4" s="2762"/>
      <c r="G4" s="2711"/>
      <c r="H4" s="2344" t="s">
        <v>305</v>
      </c>
      <c r="I4" s="138"/>
      <c r="J4" s="139"/>
      <c r="K4" s="155"/>
      <c r="L4" s="138"/>
      <c r="M4" s="156"/>
    </row>
    <row r="5" spans="1:13" ht="11.25" customHeight="1" x14ac:dyDescent="0.25">
      <c r="A5" s="946" t="s">
        <v>1479</v>
      </c>
      <c r="B5" s="2183"/>
      <c r="C5" s="2173"/>
      <c r="D5" s="949"/>
      <c r="E5" s="950"/>
      <c r="F5" s="951"/>
      <c r="G5" s="2339"/>
      <c r="H5" s="962"/>
      <c r="I5" s="936"/>
      <c r="J5" s="963"/>
      <c r="K5" s="964"/>
      <c r="L5" s="936"/>
      <c r="M5" s="965"/>
    </row>
    <row r="6" spans="1:13" ht="11.25" customHeight="1" x14ac:dyDescent="0.25">
      <c r="A6" s="371" t="s">
        <v>1063</v>
      </c>
      <c r="B6" s="2184"/>
      <c r="C6" s="2174"/>
      <c r="D6" s="954"/>
      <c r="E6" s="955" t="s">
        <v>966</v>
      </c>
      <c r="F6" s="956" t="s">
        <v>966</v>
      </c>
      <c r="G6" s="2341"/>
      <c r="H6" s="966"/>
      <c r="I6" s="967"/>
      <c r="J6" s="968"/>
      <c r="K6" s="969"/>
      <c r="L6" s="967"/>
      <c r="M6" s="970"/>
    </row>
    <row r="7" spans="1:13" ht="11.25" customHeight="1" x14ac:dyDescent="0.25">
      <c r="A7" s="371"/>
      <c r="B7" s="2184"/>
      <c r="C7" s="2174"/>
      <c r="D7" s="954"/>
      <c r="E7" s="955"/>
      <c r="F7" s="956"/>
      <c r="G7" s="2341"/>
      <c r="H7" s="966"/>
      <c r="I7" s="967"/>
      <c r="J7" s="968"/>
      <c r="K7" s="969"/>
      <c r="L7" s="967"/>
      <c r="M7" s="970"/>
    </row>
    <row r="8" spans="1:13" ht="11.25" customHeight="1" x14ac:dyDescent="0.25">
      <c r="A8" s="1992" t="s">
        <v>974</v>
      </c>
      <c r="B8" s="2185"/>
      <c r="C8" s="2175" t="s">
        <v>2444</v>
      </c>
      <c r="D8" s="1942"/>
      <c r="E8" s="1986"/>
      <c r="F8" s="1987"/>
      <c r="G8" s="2342"/>
      <c r="H8" s="1993">
        <v>3116596</v>
      </c>
      <c r="I8" s="1973">
        <v>3116596</v>
      </c>
      <c r="J8" s="1994">
        <v>3116596</v>
      </c>
      <c r="K8" s="1975"/>
      <c r="L8" s="1973"/>
      <c r="M8" s="1976"/>
    </row>
    <row r="9" spans="1:13" ht="11.25" customHeight="1" x14ac:dyDescent="0.25">
      <c r="A9" s="1913"/>
      <c r="B9" s="2186"/>
      <c r="C9" s="2176"/>
      <c r="D9" s="1940"/>
      <c r="E9" s="1986"/>
      <c r="F9" s="1987"/>
      <c r="G9" s="2342"/>
      <c r="H9" s="1866"/>
      <c r="I9" s="1614"/>
      <c r="J9" s="1615"/>
      <c r="K9" s="1635"/>
      <c r="L9" s="1614"/>
      <c r="M9" s="1634"/>
    </row>
    <row r="10" spans="1:13" ht="11.25" customHeight="1" x14ac:dyDescent="0.35">
      <c r="A10" s="1913"/>
      <c r="B10" s="2186"/>
      <c r="C10" s="2176"/>
      <c r="D10" s="1940"/>
      <c r="E10" s="1986"/>
      <c r="F10" s="1987"/>
      <c r="G10" s="2525"/>
      <c r="H10" s="1866"/>
      <c r="I10" s="1614"/>
      <c r="J10" s="1615"/>
      <c r="K10" s="1635"/>
      <c r="L10" s="1614"/>
      <c r="M10" s="1634"/>
    </row>
    <row r="11" spans="1:13" ht="11.25" customHeight="1" x14ac:dyDescent="0.25">
      <c r="A11" s="1992"/>
      <c r="B11" s="2185"/>
      <c r="C11" s="2176"/>
      <c r="D11" s="1940"/>
      <c r="E11" s="1986"/>
      <c r="F11" s="1987"/>
      <c r="G11" s="2342"/>
      <c r="H11" s="1866"/>
      <c r="I11" s="1614"/>
      <c r="J11" s="1615"/>
      <c r="K11" s="1635"/>
      <c r="L11" s="1614"/>
      <c r="M11" s="1634"/>
    </row>
    <row r="12" spans="1:13" ht="11.25" customHeight="1" x14ac:dyDescent="0.25">
      <c r="A12" s="1913"/>
      <c r="B12" s="2186"/>
      <c r="C12" s="2176"/>
      <c r="D12" s="1940"/>
      <c r="E12" s="1986"/>
      <c r="F12" s="1987"/>
      <c r="G12" s="2342"/>
      <c r="H12" s="1866"/>
      <c r="I12" s="1614"/>
      <c r="J12" s="1995"/>
      <c r="K12" s="1635"/>
      <c r="L12" s="1614"/>
      <c r="M12" s="1634"/>
    </row>
    <row r="13" spans="1:13" ht="11.25" customHeight="1" x14ac:dyDescent="0.25">
      <c r="A13" s="1913"/>
      <c r="B13" s="2186"/>
      <c r="C13" s="2176"/>
      <c r="D13" s="1940"/>
      <c r="E13" s="1986"/>
      <c r="F13" s="1987"/>
      <c r="G13" s="2342"/>
      <c r="H13" s="1866"/>
      <c r="I13" s="1614"/>
      <c r="J13" s="1615"/>
      <c r="K13" s="1635"/>
      <c r="L13" s="1614"/>
      <c r="M13" s="1634"/>
    </row>
    <row r="14" spans="1:13" ht="11.25" customHeight="1" x14ac:dyDescent="0.25">
      <c r="A14" s="1996"/>
      <c r="B14" s="2187"/>
      <c r="C14" s="2177"/>
      <c r="D14" s="1997"/>
      <c r="E14" s="2171"/>
      <c r="F14" s="2337"/>
      <c r="G14" s="2345"/>
      <c r="H14" s="1998"/>
      <c r="I14" s="1656"/>
      <c r="J14" s="1999"/>
      <c r="K14" s="1658"/>
      <c r="L14" s="1656"/>
      <c r="M14" s="1657"/>
    </row>
    <row r="15" spans="1:13" ht="11.25" customHeight="1" x14ac:dyDescent="0.25">
      <c r="A15" s="265" t="s">
        <v>16</v>
      </c>
      <c r="B15" s="2188"/>
      <c r="C15" s="2178"/>
      <c r="D15" s="839"/>
      <c r="E15" s="960"/>
      <c r="F15" s="2305"/>
      <c r="G15" s="2346"/>
      <c r="H15" s="621"/>
      <c r="I15" s="207"/>
      <c r="J15" s="558"/>
      <c r="K15" s="251"/>
      <c r="L15" s="207"/>
      <c r="M15" s="264"/>
    </row>
    <row r="16" spans="1:13" ht="11.25" customHeight="1" x14ac:dyDescent="0.25">
      <c r="A16" s="371" t="s">
        <v>1485</v>
      </c>
      <c r="B16" s="2184"/>
      <c r="C16" s="2178"/>
      <c r="D16" s="839"/>
      <c r="E16" s="960"/>
      <c r="F16" s="2305"/>
      <c r="G16" s="2346"/>
      <c r="H16" s="621"/>
      <c r="I16" s="207"/>
      <c r="J16" s="558"/>
      <c r="K16" s="251"/>
      <c r="L16" s="207"/>
      <c r="M16" s="264"/>
    </row>
    <row r="17" spans="1:13" ht="11.25" customHeight="1" x14ac:dyDescent="0.25">
      <c r="A17" s="971"/>
      <c r="B17" s="2189"/>
      <c r="C17" s="2178"/>
      <c r="D17" s="839"/>
      <c r="E17" s="960"/>
      <c r="F17" s="2305"/>
      <c r="G17" s="2346"/>
      <c r="H17" s="621"/>
      <c r="I17" s="207"/>
      <c r="J17" s="558"/>
      <c r="K17" s="251"/>
      <c r="L17" s="207"/>
      <c r="M17" s="264"/>
    </row>
    <row r="18" spans="1:13" ht="11.25" customHeight="1" x14ac:dyDescent="0.25">
      <c r="A18" s="2000" t="s">
        <v>1486</v>
      </c>
      <c r="B18" s="2190"/>
      <c r="C18" s="2176"/>
      <c r="D18" s="1940"/>
      <c r="E18" s="1986"/>
      <c r="F18" s="1987"/>
      <c r="G18" s="2342"/>
      <c r="H18" s="1866"/>
      <c r="I18" s="1614"/>
      <c r="J18" s="1615"/>
      <c r="K18" s="1635"/>
      <c r="L18" s="1614"/>
      <c r="M18" s="1634"/>
    </row>
    <row r="19" spans="1:13" ht="11.25" customHeight="1" x14ac:dyDescent="0.25">
      <c r="A19" s="1938" t="s">
        <v>1358</v>
      </c>
      <c r="B19" s="2191"/>
      <c r="C19" s="2176"/>
      <c r="D19" s="1940"/>
      <c r="E19" s="1986"/>
      <c r="F19" s="1987"/>
      <c r="G19" s="2342"/>
      <c r="H19" s="1866"/>
      <c r="I19" s="1614"/>
      <c r="J19" s="1615"/>
      <c r="K19" s="1635"/>
      <c r="L19" s="1614"/>
      <c r="M19" s="1634"/>
    </row>
    <row r="20" spans="1:13" ht="11.25" customHeight="1" x14ac:dyDescent="0.25">
      <c r="A20" s="1939"/>
      <c r="B20" s="2192"/>
      <c r="C20" s="2176"/>
      <c r="D20" s="1940"/>
      <c r="E20" s="1986"/>
      <c r="F20" s="1987"/>
      <c r="G20" s="2342"/>
      <c r="H20" s="1866"/>
      <c r="I20" s="1614"/>
      <c r="J20" s="1615"/>
      <c r="K20" s="1635"/>
      <c r="L20" s="1614"/>
      <c r="M20" s="1634"/>
    </row>
    <row r="21" spans="1:13" ht="11.25" customHeight="1" x14ac:dyDescent="0.25">
      <c r="A21" s="1913"/>
      <c r="B21" s="2186"/>
      <c r="C21" s="2176"/>
      <c r="D21" s="1940"/>
      <c r="E21" s="1986"/>
      <c r="F21" s="1987"/>
      <c r="G21" s="2342"/>
      <c r="H21" s="1866"/>
      <c r="I21" s="1614"/>
      <c r="J21" s="1615"/>
      <c r="K21" s="1635"/>
      <c r="L21" s="1614"/>
      <c r="M21" s="1634"/>
    </row>
    <row r="22" spans="1:13" ht="11.25" customHeight="1" x14ac:dyDescent="0.25">
      <c r="A22" s="1913"/>
      <c r="B22" s="2186"/>
      <c r="C22" s="2176"/>
      <c r="D22" s="1940"/>
      <c r="E22" s="1986"/>
      <c r="F22" s="1987"/>
      <c r="G22" s="2342"/>
      <c r="H22" s="1866"/>
      <c r="I22" s="1614"/>
      <c r="J22" s="1615"/>
      <c r="K22" s="1635"/>
      <c r="L22" s="1614"/>
      <c r="M22" s="1634"/>
    </row>
    <row r="23" spans="1:13" ht="11.25" customHeight="1" x14ac:dyDescent="0.25">
      <c r="A23" s="2001"/>
      <c r="B23" s="2193"/>
      <c r="C23" s="2179"/>
      <c r="D23" s="2002"/>
      <c r="E23" s="2172"/>
      <c r="F23" s="2338"/>
      <c r="G23" s="2347"/>
      <c r="H23" s="2003"/>
      <c r="I23" s="1691"/>
      <c r="J23" s="2004"/>
      <c r="K23" s="1693"/>
      <c r="L23" s="1691"/>
      <c r="M23" s="1692"/>
    </row>
    <row r="24" spans="1:13" ht="11.25" customHeight="1" x14ac:dyDescent="0.25">
      <c r="A24" s="307" t="str">
        <f>head27a</f>
        <v>References</v>
      </c>
      <c r="B24" s="2194"/>
      <c r="E24" s="246"/>
      <c r="F24" s="246"/>
      <c r="G24" s="246"/>
      <c r="H24" s="246"/>
      <c r="I24" s="246"/>
      <c r="J24" s="246"/>
    </row>
    <row r="25" spans="1:13" ht="11.25" customHeight="1" x14ac:dyDescent="0.25">
      <c r="A25" s="308" t="s">
        <v>1643</v>
      </c>
      <c r="B25" s="2195"/>
    </row>
    <row r="26" spans="1:13" ht="11.25" customHeight="1" x14ac:dyDescent="0.25">
      <c r="A26" s="308" t="s">
        <v>876</v>
      </c>
      <c r="B26" s="2195"/>
    </row>
    <row r="27" spans="1:13" ht="11.25" customHeight="1" x14ac:dyDescent="0.25">
      <c r="A27" s="308" t="s">
        <v>1991</v>
      </c>
      <c r="B27" s="2195"/>
    </row>
    <row r="28" spans="1:13" ht="11.25" customHeight="1" x14ac:dyDescent="0.25">
      <c r="A28" s="149" t="s">
        <v>2075</v>
      </c>
    </row>
    <row r="29" spans="1:13" ht="11.25" customHeight="1" x14ac:dyDescent="0.25"/>
    <row r="30" spans="1:13" ht="11.25" customHeight="1" x14ac:dyDescent="0.25"/>
    <row r="31" spans="1:13" ht="11.25" customHeight="1" x14ac:dyDescent="0.25"/>
    <row r="32" spans="1:13"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40" ht="11.25" customHeight="1" x14ac:dyDescent="0.25"/>
    <row r="41" ht="2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9">
    <mergeCell ref="A2:A3"/>
    <mergeCell ref="H2:H3"/>
    <mergeCell ref="I2:J2"/>
    <mergeCell ref="K2:M2"/>
    <mergeCell ref="C2:C4"/>
    <mergeCell ref="D2:D4"/>
    <mergeCell ref="F2:F4"/>
    <mergeCell ref="E2:E4"/>
    <mergeCell ref="G2:G4"/>
  </mergeCells>
  <phoneticPr fontId="2" type="noConversion"/>
  <dataValidations count="2">
    <dataValidation type="list" allowBlank="1" showInputMessage="1" showErrorMessage="1" promptTitle="Select Asset Class" prompt="Select asset class from list" sqref="E8:E14 E18:E23">
      <formula1>Asset_Class</formula1>
    </dataValidation>
    <dataValidation type="list" allowBlank="1" showInputMessage="1" showErrorMessage="1" promptTitle="Select Asset Sub-Class" prompt="Select asset sub class from list" sqref="F18:F23 F8:F14">
      <formula1>Asset_sub_class</formula1>
    </dataValidation>
  </dataValidations>
  <printOptions horizontalCentered="1"/>
  <pageMargins left="0" right="0" top="0.78740157480314965" bottom="0.59055118110236227" header="0.51181102362204722" footer="0.39370078740157483"/>
  <pageSetup paperSize="9" scale="77"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33"/>
    <pageSetUpPr fitToPage="1"/>
  </sheetPr>
  <dimension ref="A1:AK83"/>
  <sheetViews>
    <sheetView zoomScaleNormal="100" workbookViewId="0">
      <pane xSplit="2" ySplit="5" topLeftCell="C33" activePane="bottomRight" state="frozen"/>
      <selection pane="topRight"/>
      <selection pane="bottomLeft"/>
      <selection pane="bottomRight" sqref="A1:M1"/>
    </sheetView>
  </sheetViews>
  <sheetFormatPr defaultColWidth="9.1796875" defaultRowHeight="10" x14ac:dyDescent="0.2"/>
  <cols>
    <col min="1" max="1" width="40.7265625" style="2" customWidth="1"/>
    <col min="2" max="2" width="3.54296875" style="2" customWidth="1"/>
    <col min="3" max="3" width="9.1796875" style="2" hidden="1" customWidth="1"/>
    <col min="4" max="16384" width="9.1796875" style="2"/>
  </cols>
  <sheetData>
    <row r="1" spans="1:37" ht="12.5" x14ac:dyDescent="0.25">
      <c r="A1" s="2764" t="str">
        <f>"Financial summary for the " &amp;muni&amp; "eThekwini"</f>
        <v>Financial summary for the KZN225 MsunduzieThekwini</v>
      </c>
      <c r="B1" s="2765"/>
      <c r="C1" s="2765"/>
      <c r="D1" s="2765"/>
      <c r="E1" s="2765"/>
      <c r="F1" s="2765"/>
      <c r="G1" s="2765"/>
      <c r="H1" s="2765"/>
      <c r="I1" s="2765"/>
      <c r="J1" s="2765"/>
      <c r="K1" s="2765"/>
      <c r="L1" s="2765"/>
      <c r="M1" s="2766"/>
      <c r="N1"/>
      <c r="O1"/>
      <c r="P1"/>
      <c r="Q1"/>
      <c r="R1"/>
      <c r="S1"/>
      <c r="T1"/>
      <c r="U1"/>
      <c r="V1"/>
      <c r="W1"/>
      <c r="X1"/>
      <c r="Y1"/>
    </row>
    <row r="2" spans="1:37" ht="13" thickBot="1" x14ac:dyDescent="0.3">
      <c r="A2" s="121" t="str">
        <f>muni&amp;SFPerf2</f>
        <v>KZN225 MsunduziForecast Financial Performance</v>
      </c>
      <c r="B2" s="122"/>
      <c r="C2" s="122"/>
      <c r="D2" s="122"/>
      <c r="E2" s="122"/>
      <c r="F2" s="122"/>
      <c r="G2" s="122"/>
      <c r="H2" s="122"/>
      <c r="I2" s="122"/>
      <c r="J2" s="122"/>
      <c r="K2" s="122"/>
      <c r="L2" s="122"/>
      <c r="M2" s="122"/>
      <c r="N2"/>
      <c r="O2"/>
      <c r="P2"/>
      <c r="Q2"/>
      <c r="R2"/>
      <c r="S2"/>
      <c r="T2"/>
      <c r="U2"/>
      <c r="V2"/>
      <c r="W2"/>
      <c r="X2"/>
      <c r="Y2"/>
      <c r="Z2"/>
      <c r="AA2"/>
      <c r="AB2"/>
      <c r="AC2"/>
      <c r="AD2"/>
      <c r="AE2"/>
      <c r="AF2"/>
      <c r="AG2"/>
      <c r="AH2"/>
      <c r="AI2"/>
      <c r="AJ2"/>
      <c r="AK2"/>
    </row>
    <row r="3" spans="1:37" ht="22.5" customHeight="1" x14ac:dyDescent="0.25">
      <c r="A3" s="2767" t="str">
        <f>desc</f>
        <v>Description</v>
      </c>
      <c r="B3" s="2767" t="str">
        <f>head27</f>
        <v>Ref</v>
      </c>
      <c r="C3" s="36"/>
      <c r="D3" s="35" t="str">
        <f>head1b</f>
        <v>2009/10</v>
      </c>
      <c r="E3" s="35" t="str">
        <f>head1A</f>
        <v>2010/11</v>
      </c>
      <c r="F3" s="35" t="str">
        <f>Head1</f>
        <v>2011/12</v>
      </c>
      <c r="G3" s="2770" t="str">
        <f>Head2</f>
        <v>Current Year 2012/13</v>
      </c>
      <c r="H3" s="2771"/>
      <c r="I3" s="2771"/>
      <c r="J3" s="995"/>
      <c r="K3" s="2772" t="str">
        <f>Head3</f>
        <v>2013/14 Medium Term Revenue &amp; Expenditure Framework</v>
      </c>
      <c r="L3" s="2773"/>
      <c r="M3" s="2774"/>
      <c r="N3"/>
      <c r="O3"/>
      <c r="P3"/>
      <c r="Q3"/>
      <c r="R3"/>
      <c r="S3"/>
      <c r="T3"/>
      <c r="U3"/>
      <c r="V3"/>
      <c r="W3"/>
      <c r="X3"/>
      <c r="Y3"/>
    </row>
    <row r="4" spans="1:37" ht="31.5" x14ac:dyDescent="0.25">
      <c r="A4" s="2768"/>
      <c r="B4" s="2768"/>
      <c r="C4" s="61"/>
      <c r="D4" s="34" t="str">
        <f>Head5</f>
        <v>Audited Outcome</v>
      </c>
      <c r="E4" s="34" t="str">
        <f>Head5</f>
        <v>Audited Outcome</v>
      </c>
      <c r="F4" s="34" t="str">
        <f>Head5</f>
        <v>Audited Outcome</v>
      </c>
      <c r="G4" s="34" t="str">
        <f>Head6</f>
        <v>Original Budget</v>
      </c>
      <c r="H4" s="34" t="str">
        <f>Head7</f>
        <v>Adjusted Budget</v>
      </c>
      <c r="I4" s="39" t="str">
        <f>Head8</f>
        <v>Full Year Forecast</v>
      </c>
      <c r="J4" s="39"/>
      <c r="K4" s="27" t="str">
        <f>Head9</f>
        <v>Budget Year 2013/14</v>
      </c>
      <c r="L4" s="26" t="str">
        <f>Head10</f>
        <v>Budget Year +1 2014/15</v>
      </c>
      <c r="M4" s="28" t="str">
        <f>Head11</f>
        <v>Budget Year +2 2015/16</v>
      </c>
      <c r="N4"/>
      <c r="O4"/>
      <c r="P4"/>
      <c r="Q4"/>
      <c r="R4"/>
      <c r="S4"/>
      <c r="T4"/>
      <c r="U4"/>
      <c r="V4"/>
      <c r="W4"/>
      <c r="X4"/>
      <c r="Y4"/>
    </row>
    <row r="5" spans="1:37" ht="12.5" x14ac:dyDescent="0.25">
      <c r="A5" s="2769"/>
      <c r="B5" s="33">
        <v>1</v>
      </c>
      <c r="C5" s="33"/>
      <c r="D5" s="30" t="s">
        <v>1016</v>
      </c>
      <c r="E5" s="30" t="s">
        <v>1016</v>
      </c>
      <c r="F5" s="30" t="s">
        <v>1016</v>
      </c>
      <c r="G5" s="30" t="s">
        <v>1016</v>
      </c>
      <c r="H5" s="30" t="s">
        <v>1016</v>
      </c>
      <c r="I5" s="31" t="s">
        <v>1016</v>
      </c>
      <c r="J5" s="31"/>
      <c r="K5" s="29" t="s">
        <v>1016</v>
      </c>
      <c r="L5" s="30" t="s">
        <v>1016</v>
      </c>
      <c r="M5" s="32" t="s">
        <v>1016</v>
      </c>
      <c r="N5"/>
      <c r="O5"/>
      <c r="P5"/>
      <c r="Q5"/>
      <c r="R5"/>
      <c r="S5"/>
      <c r="T5"/>
      <c r="U5"/>
      <c r="V5"/>
      <c r="W5"/>
      <c r="X5"/>
      <c r="Y5"/>
    </row>
    <row r="6" spans="1:37" ht="13" x14ac:dyDescent="0.3">
      <c r="A6" s="15" t="s">
        <v>1802</v>
      </c>
      <c r="B6" s="13"/>
      <c r="C6" s="13"/>
      <c r="D6" s="1037" t="s">
        <v>1682</v>
      </c>
      <c r="E6" s="72"/>
      <c r="F6" s="72"/>
      <c r="G6" s="72"/>
      <c r="H6" s="72"/>
      <c r="I6" s="73"/>
      <c r="J6" s="1010"/>
      <c r="K6" s="74"/>
      <c r="L6" s="72"/>
      <c r="M6" s="75"/>
      <c r="N6"/>
      <c r="O6"/>
      <c r="P6"/>
      <c r="Q6"/>
      <c r="R6"/>
      <c r="S6"/>
      <c r="T6"/>
      <c r="U6"/>
      <c r="V6"/>
      <c r="W6"/>
      <c r="X6"/>
      <c r="Y6"/>
    </row>
    <row r="7" spans="1:37" ht="12.5" x14ac:dyDescent="0.25">
      <c r="A7" s="15" t="s">
        <v>830</v>
      </c>
      <c r="B7" s="13"/>
      <c r="C7" s="13"/>
      <c r="D7" s="76"/>
      <c r="E7" s="76"/>
      <c r="F7" s="76"/>
      <c r="G7" s="76"/>
      <c r="H7" s="76"/>
      <c r="I7" s="77"/>
      <c r="J7" s="1011"/>
      <c r="K7" s="78"/>
      <c r="L7" s="76"/>
      <c r="M7" s="79"/>
      <c r="N7"/>
      <c r="O7"/>
      <c r="P7"/>
      <c r="Q7"/>
      <c r="R7"/>
      <c r="S7"/>
      <c r="T7"/>
      <c r="U7"/>
      <c r="V7"/>
      <c r="W7"/>
      <c r="X7"/>
      <c r="Y7"/>
    </row>
    <row r="8" spans="1:37" ht="12.5" x14ac:dyDescent="0.25">
      <c r="A8" s="69" t="s">
        <v>617</v>
      </c>
      <c r="B8" s="13"/>
      <c r="C8" s="13"/>
      <c r="D8" s="80" t="e">
        <f>SUM(D9:D10)</f>
        <v>#REF!</v>
      </c>
      <c r="E8" s="80" t="e">
        <f t="shared" ref="E8:M8" si="0">SUM(E9:E10)</f>
        <v>#REF!</v>
      </c>
      <c r="F8" s="80" t="e">
        <f t="shared" si="0"/>
        <v>#REF!</v>
      </c>
      <c r="G8" s="80" t="e">
        <f t="shared" si="0"/>
        <v>#REF!</v>
      </c>
      <c r="H8" s="80" t="e">
        <f t="shared" si="0"/>
        <v>#REF!</v>
      </c>
      <c r="I8" s="81" t="e">
        <f t="shared" si="0"/>
        <v>#REF!</v>
      </c>
      <c r="J8" s="1012" t="e">
        <f>SUM(J9:J10)</f>
        <v>#REF!</v>
      </c>
      <c r="K8" s="82" t="e">
        <f t="shared" si="0"/>
        <v>#REF!</v>
      </c>
      <c r="L8" s="80" t="e">
        <f t="shared" si="0"/>
        <v>#REF!</v>
      </c>
      <c r="M8" s="83" t="e">
        <f t="shared" si="0"/>
        <v>#REF!</v>
      </c>
      <c r="N8"/>
      <c r="O8"/>
      <c r="P8"/>
      <c r="Q8"/>
      <c r="R8"/>
      <c r="S8"/>
      <c r="T8"/>
      <c r="U8"/>
      <c r="V8"/>
      <c r="W8"/>
      <c r="X8"/>
      <c r="Y8"/>
    </row>
    <row r="9" spans="1:37" x14ac:dyDescent="0.2">
      <c r="A9" s="97" t="str">
        <f>'A4-FinPerf RE'!A5</f>
        <v>Property rates</v>
      </c>
      <c r="B9" s="13"/>
      <c r="C9" s="13"/>
      <c r="D9" s="107">
        <f>IF(ISERROR('A4-FinPerf RE'!C5+'A4-FinPerf RE'!C6+D71),0,('A4-FinPerf RE'!C5+'A4-FinPerf RE'!C6+D71))</f>
        <v>428190060</v>
      </c>
      <c r="E9" s="107">
        <f>IF(ISERROR('A4-FinPerf RE'!D5+'A4-FinPerf RE'!D6+E71),0,('A4-FinPerf RE'!D5+'A4-FinPerf RE'!D6+E71))</f>
        <v>509805196</v>
      </c>
      <c r="F9" s="107">
        <f>IF(ISERROR('A4-FinPerf RE'!E5+'A4-FinPerf RE'!E6+F71),0,('A4-FinPerf RE'!E5+'A4-FinPerf RE'!E6+F71))</f>
        <v>419695932</v>
      </c>
      <c r="G9" s="107">
        <f>IF(ISERROR('A4-FinPerf RE'!F5+'A4-FinPerf RE'!F6+G71),0,('A4-FinPerf RE'!F5+'A4-FinPerf RE'!F6+G71))</f>
        <v>610539179.11573339</v>
      </c>
      <c r="H9" s="107">
        <f>IF(ISERROR('A4-FinPerf RE'!G5+'A4-FinPerf RE'!G6+H71),0,('A4-FinPerf RE'!G5+'A4-FinPerf RE'!G6+H71))</f>
        <v>623902741</v>
      </c>
      <c r="I9" s="108">
        <f>IF(ISERROR('A4-FinPerf RE'!H5+'A4-FinPerf RE'!H6+I71),0,('A4-FinPerf RE'!H5+'A4-FinPerf RE'!H6+I71))</f>
        <v>623523769</v>
      </c>
      <c r="J9" s="1013">
        <f>IF(ISERROR('A4-FinPerf RE'!I5+'A4-FinPerf RE'!I6+J71),0,('A4-FinPerf RE'!I5+'A4-FinPerf RE'!I6+J71))</f>
        <v>623523769</v>
      </c>
      <c r="K9" s="109">
        <f>IF(ISERROR('A4-FinPerf RE'!J5+'A4-FinPerf RE'!J6+K71),0,('A4-FinPerf RE'!J5+'A4-FinPerf RE'!J6+K71))</f>
        <v>645577662</v>
      </c>
      <c r="L9" s="107">
        <f>IF(ISERROR('A4-FinPerf RE'!K5+'A4-FinPerf RE'!K6+L71),0,('A4-FinPerf RE'!K5+'A4-FinPerf RE'!K6+L71))</f>
        <v>680370450</v>
      </c>
      <c r="M9" s="119">
        <f>IF(ISERROR('A4-FinPerf RE'!L5+'A4-FinPerf RE'!L6+M71),0,('A4-FinPerf RE'!L5+'A4-FinPerf RE'!L6+M71))</f>
        <v>714384435</v>
      </c>
    </row>
    <row r="10" spans="1:37" x14ac:dyDescent="0.2">
      <c r="A10" s="97" t="s">
        <v>1341</v>
      </c>
      <c r="B10" s="13"/>
      <c r="C10" s="13"/>
      <c r="D10" s="113" t="e">
        <f>'SA1'!C33+'SA1'!#REF!</f>
        <v>#REF!</v>
      </c>
      <c r="E10" s="113" t="e">
        <f>'SA1'!D33+'SA1'!#REF!</f>
        <v>#REF!</v>
      </c>
      <c r="F10" s="113" t="e">
        <f>'SA1'!E33+'SA1'!#REF!</f>
        <v>#REF!</v>
      </c>
      <c r="G10" s="113" t="e">
        <f>'SA1'!F33+'SA1'!#REF!</f>
        <v>#REF!</v>
      </c>
      <c r="H10" s="113" t="e">
        <f>'SA1'!G33+'SA1'!#REF!</f>
        <v>#REF!</v>
      </c>
      <c r="I10" s="114" t="e">
        <f>'SA1'!H33+'SA1'!#REF!</f>
        <v>#REF!</v>
      </c>
      <c r="J10" s="1014" t="e">
        <f>'SA1'!I33+'SA1'!#REF!</f>
        <v>#REF!</v>
      </c>
      <c r="K10" s="115" t="e">
        <f>'SA1'!J33+'SA1'!#REF!</f>
        <v>#REF!</v>
      </c>
      <c r="L10" s="113" t="e">
        <f>'SA1'!K33+'SA1'!#REF!</f>
        <v>#REF!</v>
      </c>
      <c r="M10" s="120" t="e">
        <f>'SA1'!L33+'SA1'!#REF!</f>
        <v>#REF!</v>
      </c>
    </row>
    <row r="11" spans="1:37" ht="10.5" x14ac:dyDescent="0.25">
      <c r="A11" s="69" t="s">
        <v>618</v>
      </c>
      <c r="B11" s="13"/>
      <c r="C11" s="13"/>
      <c r="D11" s="80" t="e">
        <f>SUM(D12:D14)</f>
        <v>#REF!</v>
      </c>
      <c r="E11" s="80" t="e">
        <f t="shared" ref="E11:M11" si="1">SUM(E12:E14)</f>
        <v>#REF!</v>
      </c>
      <c r="F11" s="80" t="e">
        <f t="shared" si="1"/>
        <v>#REF!</v>
      </c>
      <c r="G11" s="80" t="e">
        <f t="shared" si="1"/>
        <v>#REF!</v>
      </c>
      <c r="H11" s="80" t="e">
        <f t="shared" si="1"/>
        <v>#REF!</v>
      </c>
      <c r="I11" s="81" t="e">
        <f t="shared" si="1"/>
        <v>#REF!</v>
      </c>
      <c r="J11" s="1012" t="e">
        <f>SUM(J12:J14)</f>
        <v>#REF!</v>
      </c>
      <c r="K11" s="82" t="e">
        <f t="shared" si="1"/>
        <v>#REF!</v>
      </c>
      <c r="L11" s="80" t="e">
        <f t="shared" si="1"/>
        <v>#REF!</v>
      </c>
      <c r="M11" s="83" t="e">
        <f t="shared" si="1"/>
        <v>#REF!</v>
      </c>
    </row>
    <row r="12" spans="1:37" x14ac:dyDescent="0.2">
      <c r="A12" s="70" t="s">
        <v>608</v>
      </c>
      <c r="B12" s="10"/>
      <c r="C12" s="6"/>
      <c r="D12" s="84">
        <f>'A4-FinPerf RE'!C17+'A4-FinPerf RE'!C18</f>
        <v>1507637</v>
      </c>
      <c r="E12" s="84">
        <f>'A4-FinPerf RE'!D17+'A4-FinPerf RE'!D18</f>
        <v>665869</v>
      </c>
      <c r="F12" s="84">
        <f>'A4-FinPerf RE'!E17+'A4-FinPerf RE'!E18</f>
        <v>451354</v>
      </c>
      <c r="G12" s="84">
        <f>'A4-FinPerf RE'!F17+'A4-FinPerf RE'!F18</f>
        <v>456412.39919999999</v>
      </c>
      <c r="H12" s="84">
        <f>'A4-FinPerf RE'!G17+'A4-FinPerf RE'!G18</f>
        <v>577401</v>
      </c>
      <c r="I12" s="85">
        <f>'A4-FinPerf RE'!H17+'A4-FinPerf RE'!H18</f>
        <v>577401</v>
      </c>
      <c r="J12" s="1015">
        <f>'A4-FinPerf RE'!I17+'A4-FinPerf RE'!I18</f>
        <v>577401</v>
      </c>
      <c r="K12" s="86">
        <f>'A4-FinPerf RE'!J17+'A4-FinPerf RE'!J18</f>
        <v>634000</v>
      </c>
      <c r="L12" s="84">
        <f>'A4-FinPerf RE'!K17+'A4-FinPerf RE'!K18</f>
        <v>642000</v>
      </c>
      <c r="M12" s="87">
        <f>'A4-FinPerf RE'!L17+'A4-FinPerf RE'!L18</f>
        <v>656000</v>
      </c>
    </row>
    <row r="13" spans="1:37" x14ac:dyDescent="0.2">
      <c r="A13" s="70" t="s">
        <v>1803</v>
      </c>
      <c r="B13" s="10"/>
      <c r="C13" s="6"/>
      <c r="D13" s="76">
        <f>IF(ISERROR(SUM('A4-FinPerf RE'!C7:C11)+D72),0,(SUM('A4-FinPerf RE'!C7:C11)+D72))</f>
        <v>1127334615.3333333</v>
      </c>
      <c r="E13" s="76">
        <f>IF(ISERROR(SUM('A4-FinPerf RE'!D7:D11)+E72),0,(SUM('A4-FinPerf RE'!D7:D11)+E72))</f>
        <v>1556996309</v>
      </c>
      <c r="F13" s="76">
        <f>IF(ISERROR(SUM('A4-FinPerf RE'!E7:E11)+F72),0,(SUM('A4-FinPerf RE'!E7:E11)+F72))</f>
        <v>1312574941</v>
      </c>
      <c r="G13" s="76">
        <f>IF(ISERROR(SUM('A4-FinPerf RE'!F7:F11)+G72),0,(SUM('A4-FinPerf RE'!F7:F11)+G72))</f>
        <v>1928046865</v>
      </c>
      <c r="H13" s="76">
        <f>IF(ISERROR(SUM('A4-FinPerf RE'!G7:G11)+H72),0,(SUM('A4-FinPerf RE'!G7:G11)+H72))</f>
        <v>1955470536</v>
      </c>
      <c r="I13" s="77">
        <f>IF(ISERROR(SUM('A4-FinPerf RE'!H7:H11)+I72),0,(SUM('A4-FinPerf RE'!H7:H11)+I72))</f>
        <v>1954283508</v>
      </c>
      <c r="J13" s="1011">
        <f>IF(ISERROR(SUM('A4-FinPerf RE'!I7:I11)+J72),0,(SUM('A4-FinPerf RE'!I7:I11)+J72))</f>
        <v>1954283508</v>
      </c>
      <c r="K13" s="78">
        <f>IF(ISERROR(SUM('A4-FinPerf RE'!J7:J11)+K72),0,(SUM('A4-FinPerf RE'!J7:J11)+K72))</f>
        <v>2142438231</v>
      </c>
      <c r="L13" s="76">
        <f>IF(ISERROR(SUM('A4-FinPerf RE'!K7:K11)+L72),0,(SUM('A4-FinPerf RE'!K7:K11)+L72))</f>
        <v>2346715643</v>
      </c>
      <c r="M13" s="79">
        <f>IF(ISERROR(SUM('A4-FinPerf RE'!L7:L11)+M72),0,(SUM('A4-FinPerf RE'!L7:L11)+M72))</f>
        <v>2559906874</v>
      </c>
    </row>
    <row r="14" spans="1:37" x14ac:dyDescent="0.2">
      <c r="A14" s="70" t="s">
        <v>1804</v>
      </c>
      <c r="B14" s="10"/>
      <c r="C14" s="6"/>
      <c r="D14" s="76" t="e">
        <f>SUM(D15)</f>
        <v>#REF!</v>
      </c>
      <c r="E14" s="76" t="e">
        <f t="shared" ref="E14:M14" si="2">SUM(E15)</f>
        <v>#REF!</v>
      </c>
      <c r="F14" s="76" t="e">
        <f t="shared" si="2"/>
        <v>#REF!</v>
      </c>
      <c r="G14" s="76" t="e">
        <f t="shared" si="2"/>
        <v>#REF!</v>
      </c>
      <c r="H14" s="76" t="e">
        <f t="shared" si="2"/>
        <v>#REF!</v>
      </c>
      <c r="I14" s="77" t="e">
        <f t="shared" si="2"/>
        <v>#REF!</v>
      </c>
      <c r="J14" s="1011" t="e">
        <f t="shared" si="2"/>
        <v>#REF!</v>
      </c>
      <c r="K14" s="78" t="e">
        <f t="shared" si="2"/>
        <v>#REF!</v>
      </c>
      <c r="L14" s="76" t="e">
        <f t="shared" si="2"/>
        <v>#REF!</v>
      </c>
      <c r="M14" s="79" t="e">
        <f t="shared" si="2"/>
        <v>#REF!</v>
      </c>
    </row>
    <row r="15" spans="1:37" x14ac:dyDescent="0.2">
      <c r="A15" s="71" t="s">
        <v>292</v>
      </c>
      <c r="B15" s="10"/>
      <c r="C15" s="6"/>
      <c r="D15" s="125" t="e">
        <f>'A7-CFlow'!C6+'A7-CFlow'!C20+'A7-CFlow'!C21-NERF!D8-NERF!D12-NERF!D13-NERF!D22-D26</f>
        <v>#REF!</v>
      </c>
      <c r="E15" s="88" t="e">
        <f>'A7-CFlow'!D6+'A7-CFlow'!D20+'A7-CFlow'!D21-NERF!E8-NERF!E12-NERF!E13-NERF!E22-E26</f>
        <v>#REF!</v>
      </c>
      <c r="F15" s="88" t="e">
        <f>'A7-CFlow'!E6+'A7-CFlow'!E20+'A7-CFlow'!E21-NERF!F8-NERF!F12-NERF!F13-NERF!F22-F26</f>
        <v>#REF!</v>
      </c>
      <c r="G15" s="88" t="e">
        <f>'A7-CFlow'!F6+'A7-CFlow'!F20+'A7-CFlow'!F21-NERF!G8-NERF!G12-NERF!G13-NERF!G22-G26-G82</f>
        <v>#REF!</v>
      </c>
      <c r="H15" s="88" t="e">
        <f>'A7-CFlow'!G6+'A7-CFlow'!G20+'A7-CFlow'!G21-NERF!H8-NERF!H12-NERF!H13-NERF!H22-H26-H82</f>
        <v>#REF!</v>
      </c>
      <c r="I15" s="89" t="e">
        <f>'A7-CFlow'!H6+'A7-CFlow'!H20+'A7-CFlow'!H21-NERF!I8-NERF!I12-NERF!I13-NERF!I22-I26-I82</f>
        <v>#REF!</v>
      </c>
      <c r="J15" s="1016" t="e">
        <f>'A7-CFlow'!I6+'A7-CFlow'!I20+'A7-CFlow'!I21-NERF!J8-NERF!J12-NERF!J13-NERF!J22-J26-J82</f>
        <v>#REF!</v>
      </c>
      <c r="K15" s="90" t="e">
        <f>'A7-CFlow'!J6+'A7-CFlow'!J20+'A7-CFlow'!J21-NERF!K8-NERF!K12-NERF!K13-NERF!K22-K26-K82</f>
        <v>#REF!</v>
      </c>
      <c r="L15" s="88" t="e">
        <f>'A7-CFlow'!K6+'A7-CFlow'!K20+'A7-CFlow'!K21-NERF!L8-NERF!L12-NERF!L13-NERF!L22-L26-L82</f>
        <v>#REF!</v>
      </c>
      <c r="M15" s="91" t="e">
        <f>'A7-CFlow'!L6+'A7-CFlow'!L20+'A7-CFlow'!L21-NERF!M8-NERF!M12-NERF!M13-NERF!M22-M26-M82</f>
        <v>#REF!</v>
      </c>
    </row>
    <row r="16" spans="1:37" ht="10.5" x14ac:dyDescent="0.25">
      <c r="A16" s="69" t="s">
        <v>1586</v>
      </c>
      <c r="B16" s="10"/>
      <c r="C16" s="6"/>
      <c r="D16" s="100"/>
      <c r="E16" s="88"/>
      <c r="F16" s="88"/>
      <c r="G16" s="88"/>
      <c r="H16" s="88"/>
      <c r="I16" s="89"/>
      <c r="J16" s="1016"/>
      <c r="K16" s="90"/>
      <c r="L16" s="88"/>
      <c r="M16" s="91"/>
    </row>
    <row r="17" spans="1:13" ht="10.5" x14ac:dyDescent="0.25">
      <c r="A17" s="69" t="s">
        <v>601</v>
      </c>
      <c r="B17" s="13"/>
      <c r="C17" s="13"/>
      <c r="D17" s="80">
        <f>SUM(D18:D21)</f>
        <v>0</v>
      </c>
      <c r="E17" s="80">
        <f t="shared" ref="E17:M17" si="3">SUM(E18:E21)</f>
        <v>0</v>
      </c>
      <c r="F17" s="80">
        <f t="shared" si="3"/>
        <v>0</v>
      </c>
      <c r="G17" s="80">
        <f t="shared" si="3"/>
        <v>595218000</v>
      </c>
      <c r="H17" s="80">
        <f t="shared" si="3"/>
        <v>686098697</v>
      </c>
      <c r="I17" s="81">
        <f t="shared" si="3"/>
        <v>686098697</v>
      </c>
      <c r="J17" s="1012">
        <f>SUM(J18:J21)</f>
        <v>686098697</v>
      </c>
      <c r="K17" s="82">
        <f t="shared" si="3"/>
        <v>821858000</v>
      </c>
      <c r="L17" s="80">
        <f t="shared" si="3"/>
        <v>618581000</v>
      </c>
      <c r="M17" s="83">
        <f t="shared" si="3"/>
        <v>588307000</v>
      </c>
    </row>
    <row r="18" spans="1:13" x14ac:dyDescent="0.2">
      <c r="A18" s="97" t="s">
        <v>1585</v>
      </c>
      <c r="B18" s="10"/>
      <c r="C18" s="6"/>
      <c r="D18" s="107">
        <f>'A7-CFlow'!C7</f>
        <v>0</v>
      </c>
      <c r="E18" s="107">
        <f>'A7-CFlow'!D7</f>
        <v>0</v>
      </c>
      <c r="F18" s="107">
        <f>'A7-CFlow'!E7</f>
        <v>0</v>
      </c>
      <c r="G18" s="107">
        <f>'A7-CFlow'!F7</f>
        <v>365204000</v>
      </c>
      <c r="H18" s="107">
        <f>'A7-CFlow'!G7</f>
        <v>422169551</v>
      </c>
      <c r="I18" s="108">
        <f>'A7-CFlow'!H7</f>
        <v>422169551</v>
      </c>
      <c r="J18" s="1013">
        <f>'A7-CFlow'!I7</f>
        <v>422169551</v>
      </c>
      <c r="K18" s="109">
        <f>'A7-CFlow'!J7</f>
        <v>406200000</v>
      </c>
      <c r="L18" s="107">
        <f>'A7-CFlow'!K7</f>
        <v>424310000</v>
      </c>
      <c r="M18" s="119">
        <f>'A7-CFlow'!L7</f>
        <v>395917000</v>
      </c>
    </row>
    <row r="19" spans="1:13" x14ac:dyDescent="0.2">
      <c r="A19" s="97" t="s">
        <v>264</v>
      </c>
      <c r="B19" s="10"/>
      <c r="C19" s="6"/>
      <c r="D19" s="110">
        <f>'A7-CFlow'!C8</f>
        <v>0</v>
      </c>
      <c r="E19" s="110">
        <f>'A7-CFlow'!D8</f>
        <v>0</v>
      </c>
      <c r="F19" s="110">
        <f>'A7-CFlow'!E8</f>
        <v>0</v>
      </c>
      <c r="G19" s="110">
        <f>'A7-CFlow'!F8</f>
        <v>230014000</v>
      </c>
      <c r="H19" s="110">
        <f>'A7-CFlow'!G8</f>
        <v>263929146</v>
      </c>
      <c r="I19" s="111">
        <f>'A7-CFlow'!H8</f>
        <v>263929146</v>
      </c>
      <c r="J19" s="1017">
        <f>'A7-CFlow'!I8</f>
        <v>263929146</v>
      </c>
      <c r="K19" s="112">
        <f>'A7-CFlow'!J8</f>
        <v>415658000</v>
      </c>
      <c r="L19" s="110">
        <f>'A7-CFlow'!K8</f>
        <v>194271000</v>
      </c>
      <c r="M19" s="116">
        <f>'A7-CFlow'!L8</f>
        <v>192390000</v>
      </c>
    </row>
    <row r="20" spans="1:13" x14ac:dyDescent="0.2">
      <c r="A20" s="97" t="s">
        <v>609</v>
      </c>
      <c r="B20" s="10"/>
      <c r="C20" s="6"/>
      <c r="D20" s="110"/>
      <c r="E20" s="110"/>
      <c r="F20" s="110"/>
      <c r="G20" s="110"/>
      <c r="H20" s="110"/>
      <c r="I20" s="111"/>
      <c r="J20" s="1017"/>
      <c r="K20" s="112"/>
      <c r="L20" s="110"/>
      <c r="M20" s="116"/>
    </row>
    <row r="21" spans="1:13" x14ac:dyDescent="0.2">
      <c r="A21" s="97" t="s">
        <v>610</v>
      </c>
      <c r="B21" s="10"/>
      <c r="C21" s="6"/>
      <c r="D21" s="113"/>
      <c r="E21" s="113"/>
      <c r="F21" s="113"/>
      <c r="G21" s="113"/>
      <c r="H21" s="113"/>
      <c r="I21" s="114"/>
      <c r="J21" s="1014"/>
      <c r="K21" s="115"/>
      <c r="L21" s="113"/>
      <c r="M21" s="120"/>
    </row>
    <row r="22" spans="1:13" ht="10.5" x14ac:dyDescent="0.25">
      <c r="A22" s="69" t="s">
        <v>611</v>
      </c>
      <c r="B22" s="13"/>
      <c r="C22" s="13"/>
      <c r="D22" s="80">
        <f>'A4-FinPerf RE'!C16</f>
        <v>7084343</v>
      </c>
      <c r="E22" s="80">
        <f>'A4-FinPerf RE'!D16</f>
        <v>5354278</v>
      </c>
      <c r="F22" s="80">
        <f>'A4-FinPerf RE'!E16</f>
        <v>3813388</v>
      </c>
      <c r="G22" s="80">
        <f>'A4-FinPerf RE'!F16</f>
        <v>3474571</v>
      </c>
      <c r="H22" s="80">
        <f>'A4-FinPerf RE'!G16</f>
        <v>3566150</v>
      </c>
      <c r="I22" s="81">
        <f>'A4-FinPerf RE'!H16</f>
        <v>3566150</v>
      </c>
      <c r="J22" s="1012">
        <f>'A4-FinPerf RE'!I16</f>
        <v>3566150</v>
      </c>
      <c r="K22" s="82">
        <f>'A4-FinPerf RE'!J16</f>
        <v>5633548</v>
      </c>
      <c r="L22" s="80">
        <f>'A4-FinPerf RE'!K16</f>
        <v>5931867</v>
      </c>
      <c r="M22" s="83">
        <f>'A4-FinPerf RE'!L16</f>
        <v>6151122.9948339984</v>
      </c>
    </row>
    <row r="23" spans="1:13" ht="10.5" x14ac:dyDescent="0.25">
      <c r="A23" s="69" t="s">
        <v>604</v>
      </c>
      <c r="B23" s="13"/>
      <c r="C23" s="13"/>
      <c r="D23" s="80">
        <f>SUM(D24:D26)</f>
        <v>88083205.666666672</v>
      </c>
      <c r="E23" s="80">
        <f t="shared" ref="E23:M23" si="4">SUM(E24:E26)</f>
        <v>-75865998</v>
      </c>
      <c r="F23" s="80">
        <f t="shared" si="4"/>
        <v>232233139</v>
      </c>
      <c r="G23" s="80">
        <f t="shared" si="4"/>
        <v>28718223</v>
      </c>
      <c r="H23" s="80">
        <f t="shared" si="4"/>
        <v>42306123</v>
      </c>
      <c r="I23" s="81">
        <f t="shared" si="4"/>
        <v>42306123</v>
      </c>
      <c r="J23" s="1012">
        <f>SUM(J24:J26)</f>
        <v>42305123</v>
      </c>
      <c r="K23" s="82">
        <f t="shared" si="4"/>
        <v>44384079</v>
      </c>
      <c r="L23" s="80">
        <f t="shared" si="4"/>
        <v>28726103</v>
      </c>
      <c r="M23" s="83">
        <f t="shared" si="4"/>
        <v>46164808</v>
      </c>
    </row>
    <row r="24" spans="1:13" x14ac:dyDescent="0.2">
      <c r="A24" s="97" t="s">
        <v>344</v>
      </c>
      <c r="B24" s="10"/>
      <c r="C24" s="6"/>
      <c r="D24" s="107">
        <f>'A7-CFlow'!C9</f>
        <v>27918013</v>
      </c>
      <c r="E24" s="107">
        <f>'A7-CFlow'!D9</f>
        <v>51796184</v>
      </c>
      <c r="F24" s="107">
        <f>'A7-CFlow'!E9</f>
        <v>91700909</v>
      </c>
      <c r="G24" s="107">
        <f>'A7-CFlow'!F9</f>
        <v>12100000</v>
      </c>
      <c r="H24" s="107">
        <f>'A7-CFlow'!G9</f>
        <v>18356634</v>
      </c>
      <c r="I24" s="108">
        <f>'A7-CFlow'!H9</f>
        <v>18356634</v>
      </c>
      <c r="J24" s="1013">
        <f>'A7-CFlow'!I9</f>
        <v>18356634</v>
      </c>
      <c r="K24" s="109">
        <f>'A7-CFlow'!J9</f>
        <v>18941000</v>
      </c>
      <c r="L24" s="107">
        <f>'A7-CFlow'!K9</f>
        <v>0</v>
      </c>
      <c r="M24" s="119">
        <f>'A7-CFlow'!L9</f>
        <v>0</v>
      </c>
    </row>
    <row r="25" spans="1:13" x14ac:dyDescent="0.2">
      <c r="A25" s="97" t="s">
        <v>605</v>
      </c>
      <c r="B25" s="10"/>
      <c r="C25" s="6"/>
      <c r="D25" s="110">
        <f>'A7-CFlow'!C10</f>
        <v>0</v>
      </c>
      <c r="E25" s="110">
        <f>'A7-CFlow'!D10</f>
        <v>0</v>
      </c>
      <c r="F25" s="110">
        <f>'A7-CFlow'!E10</f>
        <v>0</v>
      </c>
      <c r="G25" s="110">
        <f>'A7-CFlow'!F10</f>
        <v>0</v>
      </c>
      <c r="H25" s="110">
        <f>'A7-CFlow'!G10</f>
        <v>0</v>
      </c>
      <c r="I25" s="111">
        <f>'A7-CFlow'!H10</f>
        <v>0</v>
      </c>
      <c r="J25" s="1017">
        <f>'A7-CFlow'!I10</f>
        <v>0</v>
      </c>
      <c r="K25" s="112">
        <f>'A7-CFlow'!J10</f>
        <v>0</v>
      </c>
      <c r="L25" s="110">
        <f>'A7-CFlow'!K10</f>
        <v>0</v>
      </c>
      <c r="M25" s="116">
        <f>'A7-CFlow'!L10</f>
        <v>0</v>
      </c>
    </row>
    <row r="26" spans="1:13" x14ac:dyDescent="0.2">
      <c r="A26" s="97" t="s">
        <v>606</v>
      </c>
      <c r="B26" s="10"/>
      <c r="C26" s="6"/>
      <c r="D26" s="113">
        <f>'A4-FinPerf RE'!C12+NERF!D74</f>
        <v>60165192.666666672</v>
      </c>
      <c r="E26" s="113">
        <f>'A4-FinPerf RE'!D12+NERF!E74</f>
        <v>-127662182</v>
      </c>
      <c r="F26" s="113">
        <f>'A4-FinPerf RE'!E12+NERF!F74</f>
        <v>140532230</v>
      </c>
      <c r="G26" s="113">
        <f>'A4-FinPerf RE'!F12+NERF!G74</f>
        <v>16618223</v>
      </c>
      <c r="H26" s="113">
        <f>'A4-FinPerf RE'!G12+NERF!H74</f>
        <v>23949489</v>
      </c>
      <c r="I26" s="114">
        <f>'A4-FinPerf RE'!H12+NERF!I74</f>
        <v>23949489</v>
      </c>
      <c r="J26" s="1014">
        <f>'A4-FinPerf RE'!I12+NERF!J74</f>
        <v>23948489</v>
      </c>
      <c r="K26" s="115">
        <f>'A4-FinPerf RE'!J12+NERF!K74</f>
        <v>25443079</v>
      </c>
      <c r="L26" s="113">
        <f>'A4-FinPerf RE'!K12+NERF!L74</f>
        <v>28726103</v>
      </c>
      <c r="M26" s="120">
        <f>'A4-FinPerf RE'!L12+NERF!M74</f>
        <v>46164808</v>
      </c>
    </row>
    <row r="27" spans="1:13" ht="10.5" x14ac:dyDescent="0.25">
      <c r="A27" s="69" t="s">
        <v>279</v>
      </c>
      <c r="B27" s="13"/>
      <c r="C27" s="13"/>
      <c r="D27" s="80">
        <f>SUM(D28:D29)</f>
        <v>1937411</v>
      </c>
      <c r="E27" s="80">
        <f t="shared" ref="E27:M27" si="5">SUM(E28:E29)</f>
        <v>11071616</v>
      </c>
      <c r="F27" s="80">
        <f t="shared" si="5"/>
        <v>1684430</v>
      </c>
      <c r="G27" s="80">
        <f t="shared" si="5"/>
        <v>0</v>
      </c>
      <c r="H27" s="80">
        <f t="shared" si="5"/>
        <v>0</v>
      </c>
      <c r="I27" s="81">
        <f t="shared" si="5"/>
        <v>0</v>
      </c>
      <c r="J27" s="1012">
        <f>SUM(J28:J29)</f>
        <v>0</v>
      </c>
      <c r="K27" s="82">
        <f t="shared" si="5"/>
        <v>0</v>
      </c>
      <c r="L27" s="80">
        <f t="shared" si="5"/>
        <v>0</v>
      </c>
      <c r="M27" s="83">
        <f t="shared" si="5"/>
        <v>0</v>
      </c>
    </row>
    <row r="28" spans="1:13" x14ac:dyDescent="0.2">
      <c r="A28" s="97" t="s">
        <v>612</v>
      </c>
      <c r="B28" s="10"/>
      <c r="C28" s="6"/>
      <c r="D28" s="107">
        <v>0</v>
      </c>
      <c r="E28" s="107">
        <v>0</v>
      </c>
      <c r="F28" s="107">
        <v>0</v>
      </c>
      <c r="G28" s="107">
        <v>0</v>
      </c>
      <c r="H28" s="107">
        <v>0</v>
      </c>
      <c r="I28" s="108">
        <v>0</v>
      </c>
      <c r="J28" s="1013">
        <v>0</v>
      </c>
      <c r="K28" s="109">
        <v>0</v>
      </c>
      <c r="L28" s="107">
        <v>0</v>
      </c>
      <c r="M28" s="119">
        <v>0</v>
      </c>
    </row>
    <row r="29" spans="1:13" x14ac:dyDescent="0.2">
      <c r="A29" s="97" t="s">
        <v>615</v>
      </c>
      <c r="B29" s="10"/>
      <c r="C29" s="6"/>
      <c r="D29" s="113">
        <f>'A7-CFlow'!C19</f>
        <v>1937411</v>
      </c>
      <c r="E29" s="113">
        <f>'A7-CFlow'!D19</f>
        <v>11071616</v>
      </c>
      <c r="F29" s="113">
        <f>'A7-CFlow'!E19</f>
        <v>1684430</v>
      </c>
      <c r="G29" s="113">
        <f>'A7-CFlow'!F19</f>
        <v>0</v>
      </c>
      <c r="H29" s="113">
        <f>'A7-CFlow'!G19</f>
        <v>0</v>
      </c>
      <c r="I29" s="114">
        <f>'A7-CFlow'!H19</f>
        <v>0</v>
      </c>
      <c r="J29" s="1014">
        <f>'A7-CFlow'!I19</f>
        <v>0</v>
      </c>
      <c r="K29" s="115">
        <f>'A7-CFlow'!J19</f>
        <v>0</v>
      </c>
      <c r="L29" s="113">
        <f>'A7-CFlow'!K19</f>
        <v>0</v>
      </c>
      <c r="M29" s="120">
        <f>'A7-CFlow'!L19</f>
        <v>0</v>
      </c>
    </row>
    <row r="30" spans="1:13" ht="10.5" x14ac:dyDescent="0.25">
      <c r="A30" s="69" t="s">
        <v>616</v>
      </c>
      <c r="B30" s="13"/>
      <c r="C30" s="13"/>
      <c r="D30" s="80"/>
      <c r="E30" s="80"/>
      <c r="F30" s="80"/>
      <c r="G30" s="80"/>
      <c r="H30" s="80"/>
      <c r="I30" s="81"/>
      <c r="J30" s="1012"/>
      <c r="K30" s="82"/>
      <c r="L30" s="80"/>
      <c r="M30" s="83"/>
    </row>
    <row r="31" spans="1:13" ht="10.5" x14ac:dyDescent="0.25">
      <c r="A31" s="8" t="s">
        <v>619</v>
      </c>
      <c r="B31" s="68"/>
      <c r="C31" s="68"/>
      <c r="D31" s="92" t="e">
        <f t="shared" ref="D31:M31" si="6">SUM(D8,D11,D16,D17,D22,D23,D27,D30)</f>
        <v>#REF!</v>
      </c>
      <c r="E31" s="92" t="e">
        <f t="shared" si="6"/>
        <v>#REF!</v>
      </c>
      <c r="F31" s="92" t="e">
        <f t="shared" si="6"/>
        <v>#REF!</v>
      </c>
      <c r="G31" s="92" t="e">
        <f t="shared" si="6"/>
        <v>#REF!</v>
      </c>
      <c r="H31" s="92" t="e">
        <f t="shared" si="6"/>
        <v>#REF!</v>
      </c>
      <c r="I31" s="93" t="e">
        <f t="shared" si="6"/>
        <v>#REF!</v>
      </c>
      <c r="J31" s="1018" t="e">
        <f t="shared" si="6"/>
        <v>#REF!</v>
      </c>
      <c r="K31" s="94" t="e">
        <f t="shared" si="6"/>
        <v>#REF!</v>
      </c>
      <c r="L31" s="92" t="e">
        <f t="shared" si="6"/>
        <v>#REF!</v>
      </c>
      <c r="M31" s="95" t="e">
        <f t="shared" si="6"/>
        <v>#REF!</v>
      </c>
    </row>
    <row r="32" spans="1:13" ht="10.5" x14ac:dyDescent="0.25">
      <c r="A32" s="15" t="s">
        <v>831</v>
      </c>
      <c r="B32" s="13"/>
      <c r="C32" s="13"/>
      <c r="D32" s="80"/>
      <c r="E32" s="80"/>
      <c r="F32" s="80"/>
      <c r="G32" s="80"/>
      <c r="H32" s="80"/>
      <c r="I32" s="81"/>
      <c r="J32" s="1012"/>
      <c r="K32" s="82"/>
      <c r="L32" s="80"/>
      <c r="M32" s="83"/>
    </row>
    <row r="33" spans="1:13" ht="10.5" x14ac:dyDescent="0.25">
      <c r="A33" s="69" t="s">
        <v>1587</v>
      </c>
      <c r="B33" s="13"/>
      <c r="C33" s="13"/>
      <c r="D33" s="80"/>
      <c r="E33" s="80"/>
      <c r="F33" s="80"/>
      <c r="G33" s="80"/>
      <c r="H33" s="80"/>
      <c r="I33" s="81"/>
      <c r="J33" s="1012"/>
      <c r="K33" s="82"/>
      <c r="L33" s="80"/>
      <c r="M33" s="83"/>
    </row>
    <row r="34" spans="1:13" ht="10.5" x14ac:dyDescent="0.25">
      <c r="A34" s="99" t="s">
        <v>602</v>
      </c>
      <c r="B34" s="13"/>
      <c r="C34" s="13"/>
      <c r="D34" s="101">
        <f>SUM(D35:D36)</f>
        <v>629032210</v>
      </c>
      <c r="E34" s="101">
        <f t="shared" ref="E34:M34" si="7">SUM(E35:E36)</f>
        <v>636372680</v>
      </c>
      <c r="F34" s="101">
        <f t="shared" si="7"/>
        <v>666197730</v>
      </c>
      <c r="G34" s="101">
        <f t="shared" si="7"/>
        <v>713415314.12411785</v>
      </c>
      <c r="H34" s="101">
        <f t="shared" si="7"/>
        <v>731928000</v>
      </c>
      <c r="I34" s="102">
        <f t="shared" si="7"/>
        <v>731928000</v>
      </c>
      <c r="J34" s="1019">
        <f>SUM(J35:J36)</f>
        <v>731928000</v>
      </c>
      <c r="K34" s="103">
        <f t="shared" si="7"/>
        <v>770619607</v>
      </c>
      <c r="L34" s="101">
        <f t="shared" si="7"/>
        <v>819227753</v>
      </c>
      <c r="M34" s="117">
        <f t="shared" si="7"/>
        <v>861559522</v>
      </c>
    </row>
    <row r="35" spans="1:13" x14ac:dyDescent="0.2">
      <c r="A35" s="71" t="s">
        <v>268</v>
      </c>
      <c r="B35" s="13"/>
      <c r="C35" s="13"/>
      <c r="D35" s="84">
        <f>'SA1'!C63-'SA1'!C50</f>
        <v>629032210</v>
      </c>
      <c r="E35" s="84">
        <f>'SA1'!D63-'SA1'!D50</f>
        <v>636372680</v>
      </c>
      <c r="F35" s="84">
        <f>'SA1'!E63-'SA1'!E50</f>
        <v>579798528</v>
      </c>
      <c r="G35" s="84">
        <f>'SA1'!F63-'SA1'!F50</f>
        <v>622149615.08668292</v>
      </c>
      <c r="H35" s="84">
        <f>'SA1'!G63-'SA1'!G50</f>
        <v>630862000</v>
      </c>
      <c r="I35" s="85">
        <f>'SA1'!H63-'SA1'!H50</f>
        <v>630862000</v>
      </c>
      <c r="J35" s="1015">
        <f>'SA1'!I63-'SA1'!I50</f>
        <v>630862000</v>
      </c>
      <c r="K35" s="86">
        <f>'SA1'!J63-'SA1'!J50</f>
        <v>626895469</v>
      </c>
      <c r="L35" s="84">
        <f>'SA1'!K63-'SA1'!K50</f>
        <v>666161546</v>
      </c>
      <c r="M35" s="87">
        <f>'SA1'!L63-'SA1'!L50</f>
        <v>698544011</v>
      </c>
    </row>
    <row r="36" spans="1:13" x14ac:dyDescent="0.2">
      <c r="A36" s="71" t="s">
        <v>269</v>
      </c>
      <c r="B36" s="13"/>
      <c r="C36" s="13"/>
      <c r="D36" s="88">
        <f>'SA1'!C50</f>
        <v>0</v>
      </c>
      <c r="E36" s="88">
        <f>'SA1'!D50</f>
        <v>0</v>
      </c>
      <c r="F36" s="88">
        <f>'SA1'!E50</f>
        <v>86399202</v>
      </c>
      <c r="G36" s="88">
        <f>'SA1'!F50</f>
        <v>91265699.03743495</v>
      </c>
      <c r="H36" s="88">
        <f>'SA1'!G50</f>
        <v>101066000</v>
      </c>
      <c r="I36" s="89">
        <f>'SA1'!H50</f>
        <v>101066000</v>
      </c>
      <c r="J36" s="1016">
        <f>'SA1'!I50</f>
        <v>101066000</v>
      </c>
      <c r="K36" s="90">
        <f>'SA1'!J50</f>
        <v>143724138</v>
      </c>
      <c r="L36" s="88">
        <f>'SA1'!K50</f>
        <v>153066207</v>
      </c>
      <c r="M36" s="91">
        <f>'SA1'!L50</f>
        <v>163015511</v>
      </c>
    </row>
    <row r="37" spans="1:13" ht="10.5" x14ac:dyDescent="0.25">
      <c r="A37" s="99" t="s">
        <v>603</v>
      </c>
      <c r="B37" s="13"/>
      <c r="C37" s="13"/>
      <c r="D37" s="80" t="e">
        <f>SUM(D38:D42)</f>
        <v>#REF!</v>
      </c>
      <c r="E37" s="80" t="e">
        <f t="shared" ref="E37:M37" si="8">SUM(E38:E42)</f>
        <v>#REF!</v>
      </c>
      <c r="F37" s="80" t="e">
        <f t="shared" si="8"/>
        <v>#REF!</v>
      </c>
      <c r="G37" s="80" t="e">
        <f t="shared" si="8"/>
        <v>#REF!</v>
      </c>
      <c r="H37" s="80" t="e">
        <f t="shared" si="8"/>
        <v>#REF!</v>
      </c>
      <c r="I37" s="81" t="e">
        <f t="shared" si="8"/>
        <v>#REF!</v>
      </c>
      <c r="J37" s="1012" t="e">
        <f>SUM(J38:J42)</f>
        <v>#REF!</v>
      </c>
      <c r="K37" s="82" t="e">
        <f t="shared" si="8"/>
        <v>#REF!</v>
      </c>
      <c r="L37" s="80" t="e">
        <f t="shared" si="8"/>
        <v>#REF!</v>
      </c>
      <c r="M37" s="83" t="e">
        <f t="shared" si="8"/>
        <v>#REF!</v>
      </c>
    </row>
    <row r="38" spans="1:13" x14ac:dyDescent="0.2">
      <c r="A38" s="98" t="str">
        <f>'A4-FinPerf RE'!A30</f>
        <v>Bulk purchases</v>
      </c>
      <c r="B38" s="13"/>
      <c r="C38" s="13"/>
      <c r="D38" s="84">
        <f>'A4-FinPerf RE'!C30</f>
        <v>804979363</v>
      </c>
      <c r="E38" s="84">
        <f>'A4-FinPerf RE'!D30</f>
        <v>994365930</v>
      </c>
      <c r="F38" s="84">
        <f>'A4-FinPerf RE'!E30</f>
        <v>1217334860</v>
      </c>
      <c r="G38" s="84">
        <f>'A4-FinPerf RE'!F30</f>
        <v>1382923468.4685013</v>
      </c>
      <c r="H38" s="84">
        <f>'A4-FinPerf RE'!G30</f>
        <v>1406504012</v>
      </c>
      <c r="I38" s="85">
        <f>'A4-FinPerf RE'!H30</f>
        <v>1406504012</v>
      </c>
      <c r="J38" s="1015">
        <f>'A4-FinPerf RE'!I30</f>
        <v>1406504012</v>
      </c>
      <c r="K38" s="86">
        <f>'A4-FinPerf RE'!J30</f>
        <v>1520315021</v>
      </c>
      <c r="L38" s="84">
        <f>'A4-FinPerf RE'!K30</f>
        <v>1650633544</v>
      </c>
      <c r="M38" s="87">
        <f>'A4-FinPerf RE'!L30</f>
        <v>1795318200</v>
      </c>
    </row>
    <row r="39" spans="1:13" x14ac:dyDescent="0.2">
      <c r="A39" s="98" t="s">
        <v>1517</v>
      </c>
      <c r="B39" s="13"/>
      <c r="C39" s="13"/>
      <c r="D39" s="76">
        <v>0</v>
      </c>
      <c r="E39" s="76">
        <v>0</v>
      </c>
      <c r="F39" s="76">
        <v>0</v>
      </c>
      <c r="G39" s="76">
        <v>0</v>
      </c>
      <c r="H39" s="76">
        <v>0</v>
      </c>
      <c r="I39" s="77">
        <v>0</v>
      </c>
      <c r="J39" s="1011">
        <v>0</v>
      </c>
      <c r="K39" s="78">
        <v>0</v>
      </c>
      <c r="L39" s="76">
        <v>0</v>
      </c>
      <c r="M39" s="79">
        <v>0</v>
      </c>
    </row>
    <row r="40" spans="1:13" x14ac:dyDescent="0.2">
      <c r="A40" s="98" t="str">
        <f>'A4-FinPerf RE'!A32</f>
        <v>Contracted services</v>
      </c>
      <c r="B40" s="13"/>
      <c r="C40" s="13"/>
      <c r="D40" s="76">
        <f>'A4-FinPerf RE'!C32</f>
        <v>0</v>
      </c>
      <c r="E40" s="76">
        <f>'A4-FinPerf RE'!D32</f>
        <v>0</v>
      </c>
      <c r="F40" s="76">
        <f>'A4-FinPerf RE'!E32</f>
        <v>67803247.519999996</v>
      </c>
      <c r="G40" s="76">
        <f>'A4-FinPerf RE'!F32</f>
        <v>56948024</v>
      </c>
      <c r="H40" s="76">
        <f>'A4-FinPerf RE'!G32</f>
        <v>65754471</v>
      </c>
      <c r="I40" s="77">
        <f>'A4-FinPerf RE'!H32</f>
        <v>65754471</v>
      </c>
      <c r="J40" s="1011">
        <f>'A4-FinPerf RE'!I32</f>
        <v>65754471</v>
      </c>
      <c r="K40" s="78">
        <f>'A4-FinPerf RE'!J32</f>
        <v>16791841</v>
      </c>
      <c r="L40" s="76">
        <f>'A4-FinPerf RE'!K32</f>
        <v>17677809</v>
      </c>
      <c r="M40" s="79">
        <f>'A4-FinPerf RE'!L32</f>
        <v>18555560</v>
      </c>
    </row>
    <row r="41" spans="1:13" x14ac:dyDescent="0.2">
      <c r="A41" s="98" t="s">
        <v>402</v>
      </c>
      <c r="B41" s="13"/>
      <c r="C41" s="13"/>
      <c r="D41" s="76" t="e">
        <f>'SA1'!#REF!</f>
        <v>#REF!</v>
      </c>
      <c r="E41" s="76" t="e">
        <f>'SA1'!#REF!</f>
        <v>#REF!</v>
      </c>
      <c r="F41" s="76" t="e">
        <f>'SA1'!#REF!</f>
        <v>#REF!</v>
      </c>
      <c r="G41" s="76" t="e">
        <f>'SA1'!#REF!</f>
        <v>#REF!</v>
      </c>
      <c r="H41" s="76" t="e">
        <f>'SA1'!#REF!</f>
        <v>#REF!</v>
      </c>
      <c r="I41" s="77" t="e">
        <f>'SA1'!#REF!</f>
        <v>#REF!</v>
      </c>
      <c r="J41" s="1011" t="e">
        <f>'SA1'!#REF!</f>
        <v>#REF!</v>
      </c>
      <c r="K41" s="78" t="e">
        <f>'SA1'!#REF!</f>
        <v>#REF!</v>
      </c>
      <c r="L41" s="76" t="e">
        <f>'SA1'!#REF!</f>
        <v>#REF!</v>
      </c>
      <c r="M41" s="79" t="e">
        <f>'SA1'!#REF!</f>
        <v>#REF!</v>
      </c>
    </row>
    <row r="42" spans="1:13" x14ac:dyDescent="0.2">
      <c r="A42" s="98" t="str">
        <f>'A4-FinPerf RE'!A34</f>
        <v>Other expenditure</v>
      </c>
      <c r="B42" s="13"/>
      <c r="C42" s="13"/>
      <c r="D42" s="88" t="e">
        <f>-'A7-CFlow'!C12-NERF!D34-NERF!D38-NERF!D39-NERF!D40-D41-NERF!D52</f>
        <v>#REF!</v>
      </c>
      <c r="E42" s="88" t="e">
        <f>-'A7-CFlow'!D12-NERF!E34-NERF!E38-NERF!E39-NERF!E40-E41-NERF!E52</f>
        <v>#REF!</v>
      </c>
      <c r="F42" s="88" t="e">
        <f>-'A7-CFlow'!E12-NERF!F34-NERF!F38-NERF!F39-NERF!F40-F41-NERF!F52</f>
        <v>#REF!</v>
      </c>
      <c r="G42" s="88" t="e">
        <f>-'A7-CFlow'!F12-NERF!G34-NERF!G38-NERF!G39-NERF!G40-G41-NERF!G52-G82</f>
        <v>#REF!</v>
      </c>
      <c r="H42" s="88" t="e">
        <f>-'A7-CFlow'!G12-NERF!H34-NERF!H38-NERF!H39-NERF!H40-H41-NERF!H52-H82</f>
        <v>#REF!</v>
      </c>
      <c r="I42" s="89" t="e">
        <f>-'A7-CFlow'!H12-NERF!I34-NERF!I38-NERF!I39-NERF!I40-I41-NERF!I52-I82</f>
        <v>#REF!</v>
      </c>
      <c r="J42" s="1016" t="e">
        <f>-'A7-CFlow'!I12-NERF!J34-NERF!J38-NERF!J39-NERF!J40-J41-NERF!J52-J82</f>
        <v>#REF!</v>
      </c>
      <c r="K42" s="90" t="e">
        <f>-'A7-CFlow'!J12-NERF!K34-NERF!K38-NERF!K39-NERF!K40-K41-NERF!K52-K82</f>
        <v>#REF!</v>
      </c>
      <c r="L42" s="88" t="e">
        <f>-'A7-CFlow'!K12-NERF!L34-NERF!L38-NERF!L39-NERF!L40-L41-NERF!L52-L82</f>
        <v>#REF!</v>
      </c>
      <c r="M42" s="91" t="e">
        <f>-'A7-CFlow'!L12-NERF!M34-NERF!M38-NERF!M39-NERF!M40-M41-NERF!M52-M82</f>
        <v>#REF!</v>
      </c>
    </row>
    <row r="43" spans="1:13" ht="10.5" x14ac:dyDescent="0.25">
      <c r="A43" s="99" t="s">
        <v>604</v>
      </c>
      <c r="B43" s="13"/>
      <c r="C43" s="13"/>
      <c r="D43" s="104">
        <f>SUM(D44:D46)</f>
        <v>73753994</v>
      </c>
      <c r="E43" s="104">
        <f t="shared" ref="E43:M43" si="9">SUM(E44:E46)</f>
        <v>71568061</v>
      </c>
      <c r="F43" s="104">
        <f t="shared" si="9"/>
        <v>72134067</v>
      </c>
      <c r="G43" s="104">
        <f t="shared" si="9"/>
        <v>77500000</v>
      </c>
      <c r="H43" s="104">
        <f t="shared" si="9"/>
        <v>70830675</v>
      </c>
      <c r="I43" s="105">
        <f t="shared" si="9"/>
        <v>70830675</v>
      </c>
      <c r="J43" s="1020">
        <f>SUM(J44:J46)</f>
        <v>70830675</v>
      </c>
      <c r="K43" s="106">
        <f t="shared" si="9"/>
        <v>64600000</v>
      </c>
      <c r="L43" s="104">
        <f t="shared" si="9"/>
        <v>59255000</v>
      </c>
      <c r="M43" s="118">
        <f t="shared" si="9"/>
        <v>54480000</v>
      </c>
    </row>
    <row r="44" spans="1:13" x14ac:dyDescent="0.2">
      <c r="A44" s="71" t="s">
        <v>344</v>
      </c>
      <c r="B44" s="13"/>
      <c r="C44" s="13"/>
      <c r="D44" s="84">
        <f>-'A7-CFlow'!C13</f>
        <v>73753994</v>
      </c>
      <c r="E44" s="84">
        <f>-'A7-CFlow'!D13</f>
        <v>71568061</v>
      </c>
      <c r="F44" s="84">
        <f>-'A7-CFlow'!E13</f>
        <v>72134067</v>
      </c>
      <c r="G44" s="84">
        <f>-'A7-CFlow'!F13</f>
        <v>77500000</v>
      </c>
      <c r="H44" s="84">
        <f>-'A7-CFlow'!G13</f>
        <v>70830675</v>
      </c>
      <c r="I44" s="85">
        <f>-'A7-CFlow'!H13</f>
        <v>70830675</v>
      </c>
      <c r="J44" s="1015">
        <f>-'A7-CFlow'!I13</f>
        <v>70830675</v>
      </c>
      <c r="K44" s="86">
        <f>-'A7-CFlow'!J13</f>
        <v>64600000</v>
      </c>
      <c r="L44" s="84">
        <f>-'A7-CFlow'!K13</f>
        <v>59255000</v>
      </c>
      <c r="M44" s="87">
        <f>-'A7-CFlow'!L13</f>
        <v>54480000</v>
      </c>
    </row>
    <row r="45" spans="1:13" x14ac:dyDescent="0.2">
      <c r="A45" s="71" t="s">
        <v>605</v>
      </c>
      <c r="B45" s="13"/>
      <c r="C45" s="13"/>
      <c r="D45" s="76">
        <v>0</v>
      </c>
      <c r="E45" s="76">
        <v>0</v>
      </c>
      <c r="F45" s="76">
        <v>0</v>
      </c>
      <c r="G45" s="76">
        <v>0</v>
      </c>
      <c r="H45" s="76">
        <v>0</v>
      </c>
      <c r="I45" s="77">
        <v>0</v>
      </c>
      <c r="J45" s="1011">
        <v>0</v>
      </c>
      <c r="K45" s="78">
        <v>0</v>
      </c>
      <c r="L45" s="76">
        <v>0</v>
      </c>
      <c r="M45" s="79">
        <v>0</v>
      </c>
    </row>
    <row r="46" spans="1:13" x14ac:dyDescent="0.2">
      <c r="A46" s="71" t="s">
        <v>606</v>
      </c>
      <c r="B46" s="13"/>
      <c r="C46" s="13"/>
      <c r="D46" s="88">
        <v>0</v>
      </c>
      <c r="E46" s="88">
        <v>0</v>
      </c>
      <c r="F46" s="88">
        <v>0</v>
      </c>
      <c r="G46" s="88">
        <v>0</v>
      </c>
      <c r="H46" s="88">
        <v>0</v>
      </c>
      <c r="I46" s="89">
        <v>0</v>
      </c>
      <c r="J46" s="1016">
        <v>0</v>
      </c>
      <c r="K46" s="90">
        <v>0</v>
      </c>
      <c r="L46" s="88">
        <v>0</v>
      </c>
      <c r="M46" s="91">
        <v>0</v>
      </c>
    </row>
    <row r="47" spans="1:13" ht="10.5" x14ac:dyDescent="0.25">
      <c r="A47" s="99" t="str">
        <f>A30</f>
        <v>Financial transactions in assets and liabilities</v>
      </c>
      <c r="B47" s="13"/>
      <c r="C47" s="13"/>
      <c r="D47" s="76">
        <v>0</v>
      </c>
      <c r="E47" s="76">
        <v>0</v>
      </c>
      <c r="F47" s="76">
        <v>0</v>
      </c>
      <c r="G47" s="76">
        <v>0</v>
      </c>
      <c r="H47" s="76">
        <v>0</v>
      </c>
      <c r="I47" s="77">
        <v>0</v>
      </c>
      <c r="J47" s="1011">
        <v>0</v>
      </c>
      <c r="K47" s="78">
        <v>0</v>
      </c>
      <c r="L47" s="76">
        <v>0</v>
      </c>
      <c r="M47" s="79">
        <v>0</v>
      </c>
    </row>
    <row r="48" spans="1:13" ht="10.5" x14ac:dyDescent="0.25">
      <c r="A48" s="99" t="s">
        <v>270</v>
      </c>
      <c r="B48" s="13"/>
      <c r="C48" s="13"/>
      <c r="D48" s="76">
        <v>0</v>
      </c>
      <c r="E48" s="76">
        <v>0</v>
      </c>
      <c r="F48" s="76">
        <v>0</v>
      </c>
      <c r="G48" s="76">
        <v>0</v>
      </c>
      <c r="H48" s="76">
        <v>0</v>
      </c>
      <c r="I48" s="77">
        <v>0</v>
      </c>
      <c r="J48" s="1011">
        <v>0</v>
      </c>
      <c r="K48" s="78">
        <v>0</v>
      </c>
      <c r="L48" s="76">
        <v>0</v>
      </c>
      <c r="M48" s="79">
        <v>0</v>
      </c>
    </row>
    <row r="49" spans="1:13" ht="10.5" x14ac:dyDescent="0.25">
      <c r="A49" s="69" t="s">
        <v>607</v>
      </c>
      <c r="B49" s="13"/>
      <c r="C49" s="13"/>
      <c r="D49" s="80">
        <f>SUM(D50:D52)</f>
        <v>71326155</v>
      </c>
      <c r="E49" s="80">
        <f t="shared" ref="E49:M49" si="10">SUM(E50:E52)</f>
        <v>267210613</v>
      </c>
      <c r="F49" s="80">
        <f t="shared" si="10"/>
        <v>0</v>
      </c>
      <c r="G49" s="80">
        <f t="shared" si="10"/>
        <v>343403000</v>
      </c>
      <c r="H49" s="80">
        <f t="shared" si="10"/>
        <v>343403000</v>
      </c>
      <c r="I49" s="81">
        <f t="shared" si="10"/>
        <v>343403000</v>
      </c>
      <c r="J49" s="1012">
        <f>SUM(J50:J52)</f>
        <v>368002000</v>
      </c>
      <c r="K49" s="82">
        <f t="shared" si="10"/>
        <v>368529000</v>
      </c>
      <c r="L49" s="80">
        <f t="shared" si="10"/>
        <v>396533000</v>
      </c>
      <c r="M49" s="83">
        <f t="shared" si="10"/>
        <v>425900232</v>
      </c>
    </row>
    <row r="50" spans="1:13" x14ac:dyDescent="0.2">
      <c r="A50" s="97" t="s">
        <v>271</v>
      </c>
      <c r="B50" s="13"/>
      <c r="C50" s="13"/>
      <c r="D50" s="84">
        <f>-'A7-CFlow'!C14</f>
        <v>0</v>
      </c>
      <c r="E50" s="84">
        <f>-'A7-CFlow'!D14</f>
        <v>0</v>
      </c>
      <c r="F50" s="84">
        <f>-'A7-CFlow'!E14</f>
        <v>0</v>
      </c>
      <c r="G50" s="84">
        <f>-'A7-CFlow'!F14</f>
        <v>4500000</v>
      </c>
      <c r="H50" s="84">
        <f>-'A7-CFlow'!G14</f>
        <v>4500000</v>
      </c>
      <c r="I50" s="85">
        <f>-'A7-CFlow'!H14</f>
        <v>4500000</v>
      </c>
      <c r="J50" s="1015">
        <f>-'A7-CFlow'!I14</f>
        <v>4500000</v>
      </c>
      <c r="K50" s="86">
        <f>-'A7-CFlow'!J14</f>
        <v>5027000</v>
      </c>
      <c r="L50" s="84">
        <f>-'A7-CFlow'!K14</f>
        <v>5274000</v>
      </c>
      <c r="M50" s="87">
        <f>-'A7-CFlow'!L14</f>
        <v>5563000</v>
      </c>
    </row>
    <row r="51" spans="1:13" x14ac:dyDescent="0.2">
      <c r="A51" s="70" t="str">
        <f>A21</f>
        <v>Public corporations and private enterprises</v>
      </c>
      <c r="B51" s="13"/>
      <c r="C51" s="13"/>
      <c r="D51" s="76">
        <v>0</v>
      </c>
      <c r="E51" s="76">
        <v>0</v>
      </c>
      <c r="F51" s="76">
        <v>0</v>
      </c>
      <c r="G51" s="76">
        <v>0</v>
      </c>
      <c r="H51" s="76">
        <v>0</v>
      </c>
      <c r="I51" s="77">
        <v>0</v>
      </c>
      <c r="J51" s="1011">
        <v>0</v>
      </c>
      <c r="K51" s="78">
        <v>0</v>
      </c>
      <c r="L51" s="76">
        <v>0</v>
      </c>
      <c r="M51" s="79">
        <v>0</v>
      </c>
    </row>
    <row r="52" spans="1:13" x14ac:dyDescent="0.2">
      <c r="A52" s="70" t="s">
        <v>272</v>
      </c>
      <c r="B52" s="13"/>
      <c r="C52" s="13"/>
      <c r="D52" s="88">
        <f>'A10-SerDel'!C78</f>
        <v>71326155</v>
      </c>
      <c r="E52" s="88">
        <f>'A10-SerDel'!D78</f>
        <v>267210613</v>
      </c>
      <c r="F52" s="88">
        <f>'A10-SerDel'!E78</f>
        <v>0</v>
      </c>
      <c r="G52" s="88">
        <f>'A10-SerDel'!F78</f>
        <v>338903000</v>
      </c>
      <c r="H52" s="88">
        <f>'A10-SerDel'!G78</f>
        <v>338903000</v>
      </c>
      <c r="I52" s="89">
        <f>'A10-SerDel'!H78</f>
        <v>338903000</v>
      </c>
      <c r="J52" s="1016">
        <f>'A10-SerDel'!I78</f>
        <v>363502000</v>
      </c>
      <c r="K52" s="90">
        <f>'A10-SerDel'!I78</f>
        <v>363502000</v>
      </c>
      <c r="L52" s="88">
        <f>'A10-SerDel'!J78</f>
        <v>391259000</v>
      </c>
      <c r="M52" s="91">
        <f>'A10-SerDel'!K78</f>
        <v>420337232</v>
      </c>
    </row>
    <row r="53" spans="1:13" ht="10.5" x14ac:dyDescent="0.25">
      <c r="A53" s="69" t="s">
        <v>273</v>
      </c>
      <c r="B53" s="13"/>
      <c r="C53" s="13"/>
      <c r="D53" s="80">
        <f>SUM(D54:D57)</f>
        <v>154961519</v>
      </c>
      <c r="E53" s="80">
        <f t="shared" ref="E53:M53" si="11">SUM(E54:E57)</f>
        <v>311400634</v>
      </c>
      <c r="F53" s="80">
        <f t="shared" si="11"/>
        <v>-148383086</v>
      </c>
      <c r="G53" s="80">
        <f t="shared" si="11"/>
        <v>230014000</v>
      </c>
      <c r="H53" s="80">
        <f t="shared" si="11"/>
        <v>263929146</v>
      </c>
      <c r="I53" s="81">
        <f t="shared" si="11"/>
        <v>263929146</v>
      </c>
      <c r="J53" s="1012">
        <f>SUM(J54:J57)</f>
        <v>263929146</v>
      </c>
      <c r="K53" s="82">
        <f t="shared" si="11"/>
        <v>415658000</v>
      </c>
      <c r="L53" s="80">
        <f t="shared" si="11"/>
        <v>194271000</v>
      </c>
      <c r="M53" s="83">
        <f t="shared" si="11"/>
        <v>192390000</v>
      </c>
    </row>
    <row r="54" spans="1:13" x14ac:dyDescent="0.2">
      <c r="A54" s="70" t="s">
        <v>278</v>
      </c>
      <c r="B54" s="13"/>
      <c r="C54" s="13"/>
      <c r="D54" s="84">
        <f>-'A7-CFlow'!C24-NERF!D55-NERF!D56-NERF!D57</f>
        <v>147972804</v>
      </c>
      <c r="E54" s="84">
        <f>-'A7-CFlow'!D24-NERF!E55-NERF!E56-NERF!E57</f>
        <v>311154857.37</v>
      </c>
      <c r="F54" s="84">
        <f>-'A7-CFlow'!E24-NERF!F55-NERF!F56-NERF!F57</f>
        <v>-148383086</v>
      </c>
      <c r="G54" s="84">
        <f>-'A7-CFlow'!F24-NERF!G55-NERF!G56-NERF!G57</f>
        <v>230014000</v>
      </c>
      <c r="H54" s="84">
        <f>-'A7-CFlow'!G24-NERF!H55-NERF!H56-NERF!H57</f>
        <v>259860386</v>
      </c>
      <c r="I54" s="85">
        <f>-'A7-CFlow'!H24-NERF!I55-NERF!I56-NERF!I57</f>
        <v>259860386</v>
      </c>
      <c r="J54" s="1015">
        <f>-'A7-CFlow'!I24-NERF!J55-NERF!J56-NERF!J57</f>
        <v>238669146</v>
      </c>
      <c r="K54" s="86">
        <f>-'A7-CFlow'!J24-NERF!K55-NERF!K56-NERF!K57</f>
        <v>390398000</v>
      </c>
      <c r="L54" s="84">
        <f>-'A7-CFlow'!K24-NERF!L55-NERF!L56-NERF!L57</f>
        <v>171571000</v>
      </c>
      <c r="M54" s="87">
        <f>-'A7-CFlow'!L24-NERF!M55-NERF!M56-NERF!M57</f>
        <v>168600000</v>
      </c>
    </row>
    <row r="55" spans="1:13" x14ac:dyDescent="0.2">
      <c r="A55" s="70" t="s">
        <v>274</v>
      </c>
      <c r="B55" s="13"/>
      <c r="C55" s="13"/>
      <c r="D55" s="76">
        <f>SA34a!C52+SA34a!C54+SA34a!C55+SA34a!C56</f>
        <v>6988715</v>
      </c>
      <c r="E55" s="76">
        <f>SA34a!D52+SA34a!D54+SA34a!D55+SA34a!D56</f>
        <v>245776.63</v>
      </c>
      <c r="F55" s="76">
        <f>SA34a!E52+SA34a!E54+SA34a!E55+SA34a!E56</f>
        <v>0</v>
      </c>
      <c r="G55" s="76">
        <f>SA34a!F52+SA34a!F54+SA34a!F55+SA34a!F56</f>
        <v>0</v>
      </c>
      <c r="H55" s="76">
        <f>SA34a!G52+SA34a!G54+SA34a!G55+SA34a!G56</f>
        <v>4068760</v>
      </c>
      <c r="I55" s="77">
        <f>SA34a!H52+SA34a!H54+SA34a!H55+SA34a!H56</f>
        <v>4068760</v>
      </c>
      <c r="J55" s="1011">
        <f>SA34a!I52+SA34a!I54+SA34a!I55+SA34a!I56</f>
        <v>25260000</v>
      </c>
      <c r="K55" s="78">
        <f>SA34a!I52+SA34a!I54+SA34a!I55+SA34a!I56</f>
        <v>25260000</v>
      </c>
      <c r="L55" s="76">
        <f>SA34a!J52+SA34a!J54+SA34a!J55+SA34a!J56</f>
        <v>22700000</v>
      </c>
      <c r="M55" s="79">
        <f>SA34a!K52+SA34a!K54+SA34a!K55+SA34a!K56</f>
        <v>23790000</v>
      </c>
    </row>
    <row r="56" spans="1:13" x14ac:dyDescent="0.2">
      <c r="A56" s="70" t="s">
        <v>275</v>
      </c>
      <c r="B56" s="13"/>
      <c r="C56" s="13"/>
      <c r="D56" s="76">
        <f>'A9-Asset'!C48</f>
        <v>0</v>
      </c>
      <c r="E56" s="76">
        <f>'A9-Asset'!D48</f>
        <v>0</v>
      </c>
      <c r="F56" s="76">
        <f>'A9-Asset'!E48</f>
        <v>0</v>
      </c>
      <c r="G56" s="76">
        <f>'A9-Asset'!F48</f>
        <v>0</v>
      </c>
      <c r="H56" s="76">
        <f>'A9-Asset'!G48</f>
        <v>0</v>
      </c>
      <c r="I56" s="77">
        <f>'A9-Asset'!H48</f>
        <v>0</v>
      </c>
      <c r="J56" s="1011">
        <f>'A9-Asset'!I48</f>
        <v>0</v>
      </c>
      <c r="K56" s="78">
        <f>'A9-Asset'!I48</f>
        <v>0</v>
      </c>
      <c r="L56" s="76">
        <f>'A9-Asset'!J48</f>
        <v>0</v>
      </c>
      <c r="M56" s="79">
        <f>'A9-Asset'!K48</f>
        <v>0</v>
      </c>
    </row>
    <row r="57" spans="1:13" x14ac:dyDescent="0.2">
      <c r="A57" s="70" t="s">
        <v>612</v>
      </c>
      <c r="B57" s="13"/>
      <c r="C57" s="13"/>
      <c r="D57" s="76">
        <f>SA34a!C61</f>
        <v>0</v>
      </c>
      <c r="E57" s="76">
        <f>SA34a!D61</f>
        <v>0</v>
      </c>
      <c r="F57" s="76">
        <f>SA34a!E61</f>
        <v>0</v>
      </c>
      <c r="G57" s="76">
        <f>SA34a!F61</f>
        <v>0</v>
      </c>
      <c r="H57" s="76">
        <f>SA34a!G61</f>
        <v>0</v>
      </c>
      <c r="I57" s="77">
        <f>SA34a!H61</f>
        <v>0</v>
      </c>
      <c r="J57" s="1011">
        <f>SA34a!I61</f>
        <v>0</v>
      </c>
      <c r="K57" s="78">
        <f>SA34a!I61</f>
        <v>0</v>
      </c>
      <c r="L57" s="76">
        <f>SA34a!J61</f>
        <v>0</v>
      </c>
      <c r="M57" s="79">
        <f>SA34a!K61</f>
        <v>0</v>
      </c>
    </row>
    <row r="58" spans="1:13" ht="10.5" x14ac:dyDescent="0.25">
      <c r="A58" s="8" t="s">
        <v>265</v>
      </c>
      <c r="B58" s="68"/>
      <c r="C58" s="68"/>
      <c r="D58" s="92" t="e">
        <f>SUM(D34,D37,D43,D47,D48,D49,D53)</f>
        <v>#REF!</v>
      </c>
      <c r="E58" s="92" t="e">
        <f t="shared" ref="E58:M58" si="12">SUM(E34,E37,E43,E47,E48,E49,E53)</f>
        <v>#REF!</v>
      </c>
      <c r="F58" s="92" t="e">
        <f t="shared" si="12"/>
        <v>#REF!</v>
      </c>
      <c r="G58" s="92" t="e">
        <f t="shared" si="12"/>
        <v>#REF!</v>
      </c>
      <c r="H58" s="92" t="e">
        <f t="shared" si="12"/>
        <v>#REF!</v>
      </c>
      <c r="I58" s="93" t="e">
        <f t="shared" si="12"/>
        <v>#REF!</v>
      </c>
      <c r="J58" s="1018" t="e">
        <f>SUM(J34,J37,J43,J47,J48,J49,J53)</f>
        <v>#REF!</v>
      </c>
      <c r="K58" s="94" t="e">
        <f t="shared" si="12"/>
        <v>#REF!</v>
      </c>
      <c r="L58" s="92" t="e">
        <f t="shared" si="12"/>
        <v>#REF!</v>
      </c>
      <c r="M58" s="95" t="e">
        <f t="shared" si="12"/>
        <v>#REF!</v>
      </c>
    </row>
    <row r="59" spans="1:13" ht="10.5" x14ac:dyDescent="0.25">
      <c r="A59" s="15" t="s">
        <v>276</v>
      </c>
      <c r="B59" s="13"/>
      <c r="C59" s="13"/>
      <c r="D59" s="80" t="e">
        <f>D31-D58</f>
        <v>#REF!</v>
      </c>
      <c r="E59" s="80" t="e">
        <f t="shared" ref="E59:M59" si="13">E31-E58</f>
        <v>#REF!</v>
      </c>
      <c r="F59" s="80" t="e">
        <f t="shared" si="13"/>
        <v>#REF!</v>
      </c>
      <c r="G59" s="80" t="e">
        <f t="shared" si="13"/>
        <v>#REF!</v>
      </c>
      <c r="H59" s="80" t="e">
        <f t="shared" si="13"/>
        <v>#REF!</v>
      </c>
      <c r="I59" s="81" t="e">
        <f t="shared" si="13"/>
        <v>#REF!</v>
      </c>
      <c r="J59" s="1012" t="e">
        <f t="shared" si="13"/>
        <v>#REF!</v>
      </c>
      <c r="K59" s="82" t="e">
        <f t="shared" si="13"/>
        <v>#REF!</v>
      </c>
      <c r="L59" s="80" t="e">
        <f t="shared" si="13"/>
        <v>#REF!</v>
      </c>
      <c r="M59" s="83" t="e">
        <f t="shared" si="13"/>
        <v>#REF!</v>
      </c>
    </row>
    <row r="60" spans="1:13" ht="10.5" x14ac:dyDescent="0.25">
      <c r="A60" s="69" t="s">
        <v>1428</v>
      </c>
      <c r="B60" s="13"/>
      <c r="C60" s="13"/>
      <c r="D60" s="80"/>
      <c r="E60" s="80"/>
      <c r="F60" s="80"/>
      <c r="G60" s="80"/>
      <c r="H60" s="80"/>
      <c r="I60" s="81"/>
      <c r="J60" s="1012"/>
      <c r="K60" s="82"/>
      <c r="L60" s="80"/>
      <c r="M60" s="83"/>
    </row>
    <row r="61" spans="1:13" x14ac:dyDescent="0.2">
      <c r="A61" s="97" t="str">
        <f>'A7-CFlow'!A30</f>
        <v>Borrowing long term/refinancing</v>
      </c>
      <c r="B61" s="13"/>
      <c r="C61" s="13"/>
      <c r="D61" s="110">
        <f>SUM('A7-CFlow'!C29,'A7-CFlow'!C30)</f>
        <v>138605840</v>
      </c>
      <c r="E61" s="110">
        <f>SUM('A7-CFlow'!D29,'A7-CFlow'!D30)</f>
        <v>-56885075</v>
      </c>
      <c r="F61" s="110">
        <f>SUM('A7-CFlow'!E29,'A7-CFlow'!E30)</f>
        <v>112361377</v>
      </c>
      <c r="G61" s="110">
        <f>SUM('A7-CFlow'!F29,'A7-CFlow'!F30)</f>
        <v>0</v>
      </c>
      <c r="H61" s="110">
        <f>SUM('A7-CFlow'!G29,'A7-CFlow'!G30)</f>
        <v>0</v>
      </c>
      <c r="I61" s="111">
        <f>SUM('A7-CFlow'!H29,'A7-CFlow'!H30)</f>
        <v>0</v>
      </c>
      <c r="J61" s="1017">
        <f>SUM('A7-CFlow'!I29,'A7-CFlow'!I30)</f>
        <v>0</v>
      </c>
      <c r="K61" s="112">
        <f>SUM('A7-CFlow'!J29,'A7-CFlow'!J30)</f>
        <v>0</v>
      </c>
      <c r="L61" s="110">
        <f>SUM('A7-CFlow'!K29,'A7-CFlow'!K30)</f>
        <v>0</v>
      </c>
      <c r="M61" s="116">
        <f>SUM('A7-CFlow'!L29,'A7-CFlow'!L30)</f>
        <v>-42870000</v>
      </c>
    </row>
    <row r="62" spans="1:13" x14ac:dyDescent="0.2">
      <c r="A62" s="70" t="s">
        <v>1502</v>
      </c>
      <c r="B62" s="13"/>
      <c r="C62" s="13"/>
      <c r="D62" s="110">
        <f>'A7-CFlow'!C31</f>
        <v>985925</v>
      </c>
      <c r="E62" s="110">
        <f>'A7-CFlow'!D31</f>
        <v>34839391</v>
      </c>
      <c r="F62" s="110">
        <f>'A7-CFlow'!E31</f>
        <v>1014338</v>
      </c>
      <c r="G62" s="110">
        <f>'A7-CFlow'!F31</f>
        <v>-14000</v>
      </c>
      <c r="H62" s="110">
        <f>'A7-CFlow'!G31</f>
        <v>-14000</v>
      </c>
      <c r="I62" s="111">
        <f>'A7-CFlow'!H31</f>
        <v>-14000</v>
      </c>
      <c r="J62" s="1017">
        <f>'A7-CFlow'!I31</f>
        <v>-14000</v>
      </c>
      <c r="K62" s="112">
        <f>'A7-CFlow'!J31</f>
        <v>3722000</v>
      </c>
      <c r="L62" s="110">
        <f>'A7-CFlow'!K31</f>
        <v>3623000</v>
      </c>
      <c r="M62" s="116">
        <f>'A7-CFlow'!L31</f>
        <v>5350000</v>
      </c>
    </row>
    <row r="63" spans="1:13" x14ac:dyDescent="0.2">
      <c r="A63" s="70" t="s">
        <v>990</v>
      </c>
      <c r="B63" s="13"/>
      <c r="C63" s="13"/>
      <c r="D63" s="110">
        <f>IF('A7-CFlow'!C22&gt;0,'A7-CFlow'!C22,0)</f>
        <v>122674756</v>
      </c>
      <c r="E63" s="110">
        <f>IF('A7-CFlow'!D22&gt;0,'A7-CFlow'!D22,0)</f>
        <v>0</v>
      </c>
      <c r="F63" s="110">
        <f>IF('A7-CFlow'!E22&gt;0,'A7-CFlow'!E22,0)</f>
        <v>0</v>
      </c>
      <c r="G63" s="110">
        <f>IF('A7-CFlow'!F22&gt;0,'A7-CFlow'!F22,0)</f>
        <v>2096000</v>
      </c>
      <c r="H63" s="110">
        <f>IF('A7-CFlow'!G22&gt;0,'A7-CFlow'!G22,0)</f>
        <v>0</v>
      </c>
      <c r="I63" s="111">
        <f>IF('A7-CFlow'!H22&gt;0,'A7-CFlow'!H22,0)</f>
        <v>2096000</v>
      </c>
      <c r="J63" s="1017">
        <f>IF('A7-CFlow'!I22&gt;0,'A7-CFlow'!I22,0)</f>
        <v>2096000</v>
      </c>
      <c r="K63" s="112">
        <f>IF('A7-CFlow'!J22&gt;0,'A7-CFlow'!J22,0)</f>
        <v>0</v>
      </c>
      <c r="L63" s="110">
        <f>IF('A7-CFlow'!K22&gt;0,'A7-CFlow'!K22,0)</f>
        <v>0</v>
      </c>
      <c r="M63" s="116">
        <f>IF('A7-CFlow'!L22&gt;0,'A7-CFlow'!L22,0)</f>
        <v>0</v>
      </c>
    </row>
    <row r="64" spans="1:13" x14ac:dyDescent="0.2">
      <c r="A64" s="70" t="s">
        <v>342</v>
      </c>
      <c r="B64" s="13"/>
      <c r="C64" s="13"/>
      <c r="D64" s="110">
        <f>IF('A7-CFlow'!C22&lt;0,'A7-CFlow'!C22,0)</f>
        <v>0</v>
      </c>
      <c r="E64" s="110">
        <f>IF('A7-CFlow'!D22&lt;0,'A7-CFlow'!D22,0)</f>
        <v>0</v>
      </c>
      <c r="F64" s="110">
        <f>IF('A7-CFlow'!E22&lt;0,'A7-CFlow'!E22,0)</f>
        <v>0</v>
      </c>
      <c r="G64" s="110">
        <f>IF('A7-CFlow'!F22&lt;0,'A7-CFlow'!F22,0)</f>
        <v>0</v>
      </c>
      <c r="H64" s="110">
        <f>IF('A7-CFlow'!G22&lt;0,'A7-CFlow'!G22,0)</f>
        <v>0</v>
      </c>
      <c r="I64" s="111">
        <f>IF('A7-CFlow'!H22&lt;0,'A7-CFlow'!H22,0)</f>
        <v>0</v>
      </c>
      <c r="J64" s="1017">
        <f>IF('A7-CFlow'!I22&lt;0,'A7-CFlow'!I22,0)</f>
        <v>0</v>
      </c>
      <c r="K64" s="112">
        <f>IF('A7-CFlow'!J22&lt;0,'A7-CFlow'!J22,0)</f>
        <v>-3000</v>
      </c>
      <c r="L64" s="110">
        <f>IF('A7-CFlow'!K22&lt;0,'A7-CFlow'!K22,0)</f>
        <v>-4000</v>
      </c>
      <c r="M64" s="116">
        <f>IF('A7-CFlow'!L22&lt;0,'A7-CFlow'!L22,0)</f>
        <v>0</v>
      </c>
    </row>
    <row r="65" spans="1:13" x14ac:dyDescent="0.2">
      <c r="A65" s="70" t="str">
        <f>'A7-CFlow'!A33</f>
        <v>Repayment of borrowing</v>
      </c>
      <c r="B65" s="13"/>
      <c r="C65" s="13"/>
      <c r="D65" s="110">
        <f>'A7-CFlow'!C33</f>
        <v>0</v>
      </c>
      <c r="E65" s="110">
        <f>'A7-CFlow'!D33</f>
        <v>0</v>
      </c>
      <c r="F65" s="110">
        <f>'A7-CFlow'!E33</f>
        <v>-49779370</v>
      </c>
      <c r="G65" s="110">
        <f>'A7-CFlow'!F33</f>
        <v>19729000</v>
      </c>
      <c r="H65" s="110">
        <f>'A7-CFlow'!G33</f>
        <v>19729000</v>
      </c>
      <c r="I65" s="111">
        <f>'A7-CFlow'!H33</f>
        <v>19729000</v>
      </c>
      <c r="J65" s="1017">
        <f>'A7-CFlow'!I33</f>
        <v>19729000</v>
      </c>
      <c r="K65" s="112">
        <f>'A7-CFlow'!J33</f>
        <v>38030000</v>
      </c>
      <c r="L65" s="110">
        <f>'A7-CFlow'!K33</f>
        <v>37022000</v>
      </c>
      <c r="M65" s="116">
        <f>'A7-CFlow'!L33</f>
        <v>270665000</v>
      </c>
    </row>
    <row r="66" spans="1:13" ht="10.5" x14ac:dyDescent="0.25">
      <c r="A66" s="37" t="str">
        <f>A59&amp;" and Financing"</f>
        <v>Receipts less payments and Financing</v>
      </c>
      <c r="B66" s="13"/>
      <c r="C66" s="13"/>
      <c r="D66" s="80" t="e">
        <f>SUM(D59:D65)</f>
        <v>#REF!</v>
      </c>
      <c r="E66" s="80" t="e">
        <f t="shared" ref="E66:M66" si="14">SUM(E59:E65)</f>
        <v>#REF!</v>
      </c>
      <c r="F66" s="80" t="e">
        <f t="shared" si="14"/>
        <v>#REF!</v>
      </c>
      <c r="G66" s="80" t="e">
        <f t="shared" si="14"/>
        <v>#REF!</v>
      </c>
      <c r="H66" s="80" t="e">
        <f t="shared" si="14"/>
        <v>#REF!</v>
      </c>
      <c r="I66" s="81" t="e">
        <f t="shared" si="14"/>
        <v>#REF!</v>
      </c>
      <c r="J66" s="1012" t="e">
        <f t="shared" si="14"/>
        <v>#REF!</v>
      </c>
      <c r="K66" s="82" t="e">
        <f t="shared" si="14"/>
        <v>#REF!</v>
      </c>
      <c r="L66" s="80" t="e">
        <f t="shared" si="14"/>
        <v>#REF!</v>
      </c>
      <c r="M66" s="83" t="e">
        <f t="shared" si="14"/>
        <v>#REF!</v>
      </c>
    </row>
    <row r="67" spans="1:13" ht="10.5" x14ac:dyDescent="0.25">
      <c r="A67" s="15" t="s">
        <v>277</v>
      </c>
      <c r="B67" s="13"/>
      <c r="C67" s="13"/>
      <c r="D67" s="80">
        <f>'A7-CFlow'!C36</f>
        <v>147831717</v>
      </c>
      <c r="E67" s="80">
        <f>'A7-CFlow'!D36</f>
        <v>155802952</v>
      </c>
      <c r="F67" s="80">
        <f>'A7-CFlow'!E36</f>
        <v>289695971</v>
      </c>
      <c r="G67" s="80">
        <f>'A7-CFlow'!F36</f>
        <v>33644000</v>
      </c>
      <c r="H67" s="80">
        <f>'A7-CFlow'!G36</f>
        <v>169461709</v>
      </c>
      <c r="I67" s="81">
        <f>'A7-CFlow'!H36</f>
        <v>169991709</v>
      </c>
      <c r="J67" s="1012">
        <f>'A7-CFlow'!I36</f>
        <v>169991709</v>
      </c>
      <c r="K67" s="82">
        <f>'A7-CFlow'!J36</f>
        <v>42924000</v>
      </c>
      <c r="L67" s="80">
        <f>'A7-CFlow'!K36</f>
        <v>129529000</v>
      </c>
      <c r="M67" s="83">
        <f>'A7-CFlow'!L36</f>
        <v>181346000</v>
      </c>
    </row>
    <row r="68" spans="1:13" ht="10.5" thickBot="1" x14ac:dyDescent="0.25">
      <c r="A68" s="14"/>
      <c r="B68" s="14"/>
      <c r="C68" s="14"/>
      <c r="D68" s="96" t="e">
        <f>D66-D67</f>
        <v>#REF!</v>
      </c>
      <c r="E68" s="96" t="e">
        <f t="shared" ref="E68:M68" si="15">E66-E67</f>
        <v>#REF!</v>
      </c>
      <c r="F68" s="96" t="e">
        <f t="shared" si="15"/>
        <v>#REF!</v>
      </c>
      <c r="G68" s="96" t="e">
        <f t="shared" si="15"/>
        <v>#REF!</v>
      </c>
      <c r="H68" s="96" t="e">
        <f t="shared" si="15"/>
        <v>#REF!</v>
      </c>
      <c r="I68" s="126" t="e">
        <f t="shared" si="15"/>
        <v>#REF!</v>
      </c>
      <c r="J68" s="1021" t="e">
        <f t="shared" si="15"/>
        <v>#REF!</v>
      </c>
      <c r="K68" s="127" t="e">
        <f t="shared" si="15"/>
        <v>#REF!</v>
      </c>
      <c r="L68" s="128" t="e">
        <f t="shared" si="15"/>
        <v>#REF!</v>
      </c>
      <c r="M68" s="129" t="e">
        <f t="shared" si="15"/>
        <v>#REF!</v>
      </c>
    </row>
    <row r="70" spans="1:13" x14ac:dyDescent="0.2">
      <c r="A70" s="2" t="s">
        <v>266</v>
      </c>
      <c r="C70" s="73"/>
      <c r="D70" s="72">
        <f>'A7-CFlow'!C20+'A7-CFlow'!C21-NERF!D74</f>
        <v>-44091095.666666672</v>
      </c>
      <c r="E70" s="72">
        <f>'A7-CFlow'!D20+'A7-CFlow'!D21-NERF!E74</f>
        <v>142469262</v>
      </c>
      <c r="F70" s="72">
        <f>'A7-CFlow'!E20+'A7-CFlow'!E21-NERF!F74</f>
        <v>-482887174</v>
      </c>
      <c r="G70" s="72">
        <f>'A7-CFlow'!F20+'A7-CFlow'!F21-NERF!G74</f>
        <v>1349549</v>
      </c>
      <c r="H70" s="72">
        <f>'A7-CFlow'!G20+'A7-CFlow'!G21-NERF!H74</f>
        <v>0</v>
      </c>
      <c r="I70" s="72">
        <f>'A7-CFlow'!H20+'A7-CFlow'!H21-NERF!I74</f>
        <v>-1566000</v>
      </c>
      <c r="J70" s="72">
        <f>'A7-CFlow'!I20+'A7-CFlow'!I21-NERF!J74</f>
        <v>-1566000</v>
      </c>
      <c r="K70" s="72">
        <f>'A7-CFlow'!J20+'A7-CFlow'!J21-NERF!K74</f>
        <v>478000</v>
      </c>
      <c r="L70" s="72">
        <f>'A7-CFlow'!K20+'A7-CFlow'!K21-NERF!L74</f>
        <v>-160103</v>
      </c>
      <c r="M70" s="72">
        <f>'A7-CFlow'!L20+'A7-CFlow'!L21-NERF!M74</f>
        <v>-14909446</v>
      </c>
    </row>
    <row r="71" spans="1:13" x14ac:dyDescent="0.2">
      <c r="A71" s="2" t="s">
        <v>1588</v>
      </c>
      <c r="C71" s="77"/>
      <c r="D71" s="124">
        <f t="shared" ref="D71:M71" si="16">IF(ISERROR(ROUND(D70*D76,0)),0,(ROUND(D70*D76,0)))</f>
        <v>-12125051</v>
      </c>
      <c r="E71" s="76">
        <f t="shared" si="16"/>
        <v>35189908</v>
      </c>
      <c r="F71" s="76">
        <f t="shared" si="16"/>
        <v>-116858696</v>
      </c>
      <c r="G71" s="76">
        <f t="shared" si="16"/>
        <v>325241</v>
      </c>
      <c r="H71" s="76">
        <f t="shared" si="16"/>
        <v>0</v>
      </c>
      <c r="I71" s="76">
        <f t="shared" si="16"/>
        <v>-378972</v>
      </c>
      <c r="J71" s="76">
        <f t="shared" si="16"/>
        <v>-378972</v>
      </c>
      <c r="K71" s="76">
        <f t="shared" si="16"/>
        <v>110896</v>
      </c>
      <c r="L71" s="76">
        <f t="shared" si="16"/>
        <v>-36023</v>
      </c>
      <c r="M71" s="76">
        <f t="shared" si="16"/>
        <v>-3250259</v>
      </c>
    </row>
    <row r="72" spans="1:13" x14ac:dyDescent="0.2">
      <c r="A72" s="2" t="s">
        <v>1590</v>
      </c>
      <c r="C72" s="10"/>
      <c r="D72" s="76">
        <f>D70-D71</f>
        <v>-31966044.666666672</v>
      </c>
      <c r="E72" s="76">
        <f t="shared" ref="E72:M72" si="17">E70-E71</f>
        <v>107279354</v>
      </c>
      <c r="F72" s="76">
        <f t="shared" si="17"/>
        <v>-366028478</v>
      </c>
      <c r="G72" s="76">
        <f t="shared" si="17"/>
        <v>1024308</v>
      </c>
      <c r="H72" s="76">
        <f t="shared" si="17"/>
        <v>0</v>
      </c>
      <c r="I72" s="76">
        <f t="shared" si="17"/>
        <v>-1187028</v>
      </c>
      <c r="J72" s="76">
        <f t="shared" si="17"/>
        <v>-1187028</v>
      </c>
      <c r="K72" s="76">
        <f t="shared" si="17"/>
        <v>367104</v>
      </c>
      <c r="L72" s="76">
        <f t="shared" si="17"/>
        <v>-124080</v>
      </c>
      <c r="M72" s="76">
        <f t="shared" si="17"/>
        <v>-11659187</v>
      </c>
    </row>
    <row r="73" spans="1:13" x14ac:dyDescent="0.2">
      <c r="A73" s="2" t="str">
        <f>'A6-FinPos'!A9</f>
        <v>Other debtors</v>
      </c>
      <c r="C73" s="77">
        <f>TREND(D73:F73)</f>
        <v>-11037576.666666673</v>
      </c>
      <c r="D73" s="76">
        <f>'A6-FinPos'!C9</f>
        <v>33556288</v>
      </c>
      <c r="E73" s="76">
        <f>'A6-FinPos'!D9</f>
        <v>-111418450</v>
      </c>
      <c r="F73" s="76">
        <f>'A6-FinPos'!E9</f>
        <v>11170000</v>
      </c>
      <c r="G73" s="76">
        <f>'A6-FinPos'!F9</f>
        <v>8254451</v>
      </c>
      <c r="H73" s="76">
        <f>'A6-FinPos'!G9</f>
        <v>8254451</v>
      </c>
      <c r="I73" s="76">
        <f>'A6-FinPos'!H9</f>
        <v>8254451</v>
      </c>
      <c r="J73" s="76">
        <f>'A6-FinPos'!I9</f>
        <v>8254451</v>
      </c>
      <c r="K73" s="76">
        <f>'A6-FinPos'!J9</f>
        <v>7354451</v>
      </c>
      <c r="L73" s="76">
        <f>'A6-FinPos'!K9</f>
        <v>7103554</v>
      </c>
      <c r="M73" s="76">
        <f>'A6-FinPos'!L9</f>
        <v>21393000</v>
      </c>
    </row>
    <row r="74" spans="1:13" x14ac:dyDescent="0.2">
      <c r="A74" s="2" t="s">
        <v>267</v>
      </c>
      <c r="C74" s="77"/>
      <c r="D74" s="76">
        <f>D73-C73</f>
        <v>44593864.666666672</v>
      </c>
      <c r="E74" s="76">
        <f t="shared" ref="E74:M74" si="18">E73-D73</f>
        <v>-144974738</v>
      </c>
      <c r="F74" s="76">
        <f t="shared" si="18"/>
        <v>122588450</v>
      </c>
      <c r="G74" s="76">
        <f t="shared" si="18"/>
        <v>-2915549</v>
      </c>
      <c r="H74" s="76">
        <f t="shared" si="18"/>
        <v>0</v>
      </c>
      <c r="I74" s="76">
        <f t="shared" si="18"/>
        <v>0</v>
      </c>
      <c r="J74" s="76">
        <f t="shared" si="18"/>
        <v>0</v>
      </c>
      <c r="K74" s="76">
        <f>K73-I73</f>
        <v>-900000</v>
      </c>
      <c r="L74" s="76">
        <f t="shared" si="18"/>
        <v>-250897</v>
      </c>
      <c r="M74" s="76">
        <f t="shared" si="18"/>
        <v>14289446</v>
      </c>
    </row>
    <row r="75" spans="1:13" x14ac:dyDescent="0.2">
      <c r="C75" s="10"/>
      <c r="D75" s="13"/>
      <c r="E75" s="13"/>
      <c r="F75" s="13"/>
      <c r="G75" s="13"/>
      <c r="H75" s="13"/>
      <c r="I75" s="13"/>
      <c r="J75" s="13"/>
      <c r="K75" s="13"/>
      <c r="L75" s="13"/>
      <c r="M75" s="13"/>
    </row>
    <row r="76" spans="1:13" x14ac:dyDescent="0.2">
      <c r="A76" s="2" t="s">
        <v>1589</v>
      </c>
      <c r="C76" s="10"/>
      <c r="D76" s="56">
        <f>IF(ISERROR(ROUND(('A4-FinPerf RE'!C5+'A4-FinPerf RE'!C6)/SUM('A4-FinPerf RE'!C5:C11),3)),0,(ROUND(('A4-FinPerf RE'!C5+'A4-FinPerf RE'!C6)/SUM('A4-FinPerf RE'!C5:C11),3)))</f>
        <v>0.27500000000000002</v>
      </c>
      <c r="E76" s="56">
        <f>IF(ISERROR(ROUND(('A4-FinPerf RE'!D5+'A4-FinPerf RE'!D6)/SUM('A4-FinPerf RE'!D5:D11),3)),0,(ROUND(('A4-FinPerf RE'!D5+'A4-FinPerf RE'!D6)/SUM('A4-FinPerf RE'!D5:D11),3)))</f>
        <v>0.247</v>
      </c>
      <c r="F76" s="56">
        <f>IF(ISERROR(ROUND(('A4-FinPerf RE'!E5+'A4-FinPerf RE'!E6)/SUM('A4-FinPerf RE'!E5:E11),3)),0,(ROUND(('A4-FinPerf RE'!E5+'A4-FinPerf RE'!E6)/SUM('A4-FinPerf RE'!E5:E11),3)))</f>
        <v>0.24199999999999999</v>
      </c>
      <c r="G76" s="56">
        <f>IF(ISERROR(ROUND(('A4-FinPerf RE'!F5+'A4-FinPerf RE'!F6)/SUM('A4-FinPerf RE'!F5:F11),3)),0,(ROUND(('A4-FinPerf RE'!F5+'A4-FinPerf RE'!F6)/SUM('A4-FinPerf RE'!F5:F11),3)))</f>
        <v>0.24099999999999999</v>
      </c>
      <c r="H76" s="56">
        <f>IF(ISERROR(ROUND(('A4-FinPerf RE'!G5+'A4-FinPerf RE'!G6)/SUM('A4-FinPerf RE'!G5:G11),3)),0,(ROUND(('A4-FinPerf RE'!G5+'A4-FinPerf RE'!G6)/SUM('A4-FinPerf RE'!G5:G11),3)))</f>
        <v>0.24199999999999999</v>
      </c>
      <c r="I76" s="56">
        <f>IF(ISERROR(ROUND(('A4-FinPerf RE'!H5+'A4-FinPerf RE'!H6)/SUM('A4-FinPerf RE'!H5:H11),3)),0,(ROUND(('A4-FinPerf RE'!H5+'A4-FinPerf RE'!H6)/SUM('A4-FinPerf RE'!H5:H11),3)))</f>
        <v>0.24199999999999999</v>
      </c>
      <c r="J76" s="56">
        <f>IF(ISERROR(ROUND(('A4-FinPerf RE'!I5+'A4-FinPerf RE'!I6)/SUM('A4-FinPerf RE'!I5:I11),3)),0,(ROUND(('A4-FinPerf RE'!I5+'A4-FinPerf RE'!I6)/SUM('A4-FinPerf RE'!I5:I11),3)))</f>
        <v>0.24199999999999999</v>
      </c>
      <c r="K76" s="56">
        <f>IF(ISERROR(ROUND(('A4-FinPerf RE'!J5+'A4-FinPerf RE'!J6)/SUM('A4-FinPerf RE'!J5:J11),3)),0,(ROUND(('A4-FinPerf RE'!J5+'A4-FinPerf RE'!J6)/SUM('A4-FinPerf RE'!J5:J11),3)))</f>
        <v>0.23200000000000001</v>
      </c>
      <c r="L76" s="56">
        <f>IF(ISERROR(ROUND(('A4-FinPerf RE'!K5+'A4-FinPerf RE'!K6)/SUM('A4-FinPerf RE'!K5:K11),3)),0,(ROUND(('A4-FinPerf RE'!K5+'A4-FinPerf RE'!K6)/SUM('A4-FinPerf RE'!K5:K11),3)))</f>
        <v>0.22500000000000001</v>
      </c>
      <c r="M76" s="56">
        <f>IF(ISERROR(ROUND(('A4-FinPerf RE'!L5+'A4-FinPerf RE'!L6)/SUM('A4-FinPerf RE'!L5:L11),3)),0,(ROUND(('A4-FinPerf RE'!L5+'A4-FinPerf RE'!L6)/SUM('A4-FinPerf RE'!L5:L11),3)))</f>
        <v>0.218</v>
      </c>
    </row>
    <row r="77" spans="1:13" x14ac:dyDescent="0.2">
      <c r="A77" s="2" t="s">
        <v>1431</v>
      </c>
      <c r="C77" s="77"/>
      <c r="D77" s="76" t="e">
        <f>D31-'A7-CFlow'!C43</f>
        <v>#REF!</v>
      </c>
      <c r="E77" s="76" t="e">
        <f>E31-'A7-CFlow'!D43</f>
        <v>#REF!</v>
      </c>
      <c r="F77" s="76" t="e">
        <f>F31-'A7-CFlow'!E43</f>
        <v>#REF!</v>
      </c>
      <c r="G77" s="76" t="e">
        <f>G31-'A7-CFlow'!F43</f>
        <v>#REF!</v>
      </c>
      <c r="H77" s="76" t="e">
        <f>H31-'A7-CFlow'!G43</f>
        <v>#REF!</v>
      </c>
      <c r="I77" s="76" t="e">
        <f>I31-'A7-CFlow'!H43</f>
        <v>#REF!</v>
      </c>
      <c r="J77" s="76" t="e">
        <f>J31-'A7-CFlow'!I43</f>
        <v>#REF!</v>
      </c>
      <c r="K77" s="76" t="e">
        <f>K31-'A7-CFlow'!J43</f>
        <v>#REF!</v>
      </c>
      <c r="L77" s="76" t="e">
        <f>L31-'A7-CFlow'!K43</f>
        <v>#REF!</v>
      </c>
      <c r="M77" s="76" t="e">
        <f>M31-'A7-CFlow'!L43</f>
        <v>#REF!</v>
      </c>
    </row>
    <row r="78" spans="1:13" x14ac:dyDescent="0.2">
      <c r="A78" s="2" t="s">
        <v>1429</v>
      </c>
      <c r="D78" s="76">
        <f>'A7-CFlow'!C20+'A7-CFlow'!C21-NERF!D71-NERF!D72-NERF!D74</f>
        <v>0</v>
      </c>
      <c r="E78" s="76">
        <f>'A7-CFlow'!D20+'A7-CFlow'!D21-NERF!E71-NERF!E72-NERF!E74</f>
        <v>0</v>
      </c>
      <c r="F78" s="76">
        <f>'A7-CFlow'!E20+'A7-CFlow'!E21-NERF!F71-NERF!F72-NERF!F74</f>
        <v>0</v>
      </c>
      <c r="G78" s="76">
        <f>'A7-CFlow'!F20+'A7-CFlow'!F21-NERF!G71-NERF!G72-NERF!G74</f>
        <v>0</v>
      </c>
      <c r="H78" s="76">
        <f>'A7-CFlow'!G20+'A7-CFlow'!G21-NERF!H71-NERF!H72-NERF!H74</f>
        <v>0</v>
      </c>
      <c r="I78" s="76">
        <f>'A7-CFlow'!H20+'A7-CFlow'!H21-NERF!I71-NERF!I72-NERF!I74</f>
        <v>0</v>
      </c>
      <c r="J78" s="76">
        <f>'A7-CFlow'!I20+'A7-CFlow'!I21-NERF!J71-NERF!J72-NERF!J74</f>
        <v>0</v>
      </c>
      <c r="K78" s="76">
        <f>'A7-CFlow'!J20+'A7-CFlow'!J21-NERF!K71-NERF!K72-NERF!K74</f>
        <v>0</v>
      </c>
      <c r="L78" s="76">
        <f>'A7-CFlow'!K20+'A7-CFlow'!K21-NERF!L71-NERF!L72-NERF!L74</f>
        <v>0</v>
      </c>
      <c r="M78" s="76">
        <f>'A7-CFlow'!L20+'A7-CFlow'!L21-NERF!M71-NERF!M72-NERF!M74</f>
        <v>0</v>
      </c>
    </row>
    <row r="79" spans="1:13" x14ac:dyDescent="0.2">
      <c r="D79" s="13"/>
      <c r="E79" s="13"/>
      <c r="F79" s="13"/>
      <c r="G79" s="13"/>
      <c r="H79" s="13"/>
      <c r="I79" s="13"/>
      <c r="J79" s="13"/>
      <c r="K79" s="13"/>
      <c r="L79" s="13"/>
      <c r="M79" s="13"/>
    </row>
    <row r="80" spans="1:13" x14ac:dyDescent="0.2">
      <c r="A80" s="2" t="s">
        <v>1430</v>
      </c>
      <c r="D80" s="76" t="e">
        <f>D58+'A7-CFlow'!C44</f>
        <v>#REF!</v>
      </c>
      <c r="E80" s="76" t="e">
        <f>E58+'A7-CFlow'!D44</f>
        <v>#REF!</v>
      </c>
      <c r="F80" s="76" t="e">
        <f>F58+'A7-CFlow'!E44</f>
        <v>#REF!</v>
      </c>
      <c r="G80" s="76" t="e">
        <f>G58+'A7-CFlow'!F44</f>
        <v>#REF!</v>
      </c>
      <c r="H80" s="76" t="e">
        <f>H58+'A7-CFlow'!G44</f>
        <v>#REF!</v>
      </c>
      <c r="I80" s="76" t="e">
        <f>I58+'A7-CFlow'!H44</f>
        <v>#REF!</v>
      </c>
      <c r="J80" s="76" t="e">
        <f>J58+'A7-CFlow'!I44</f>
        <v>#REF!</v>
      </c>
      <c r="K80" s="76" t="e">
        <f>K58+'A7-CFlow'!J44</f>
        <v>#REF!</v>
      </c>
      <c r="L80" s="76" t="e">
        <f>L58+'A7-CFlow'!K44</f>
        <v>#REF!</v>
      </c>
      <c r="M80" s="76" t="e">
        <f>M58+'A7-CFlow'!L44</f>
        <v>#REF!</v>
      </c>
    </row>
    <row r="81" spans="1:13" x14ac:dyDescent="0.2">
      <c r="D81" s="13"/>
      <c r="E81" s="13"/>
      <c r="F81" s="13"/>
      <c r="G81" s="13"/>
      <c r="H81" s="13"/>
      <c r="I81" s="13"/>
      <c r="J81" s="13"/>
      <c r="K81" s="13"/>
      <c r="L81" s="13"/>
      <c r="M81" s="13"/>
    </row>
    <row r="82" spans="1:13" x14ac:dyDescent="0.2">
      <c r="A82" s="2" t="s">
        <v>1432</v>
      </c>
      <c r="D82" s="14"/>
      <c r="E82" s="14"/>
      <c r="F82" s="14"/>
      <c r="G82" s="14"/>
      <c r="H82" s="14"/>
      <c r="I82" s="14"/>
      <c r="J82" s="14"/>
      <c r="K82" s="14"/>
      <c r="L82" s="14"/>
      <c r="M82" s="14"/>
    </row>
    <row r="83" spans="1:13" x14ac:dyDescent="0.2">
      <c r="D83" s="123"/>
      <c r="E83" s="123"/>
      <c r="F83" s="123"/>
      <c r="G83" s="123"/>
      <c r="H83" s="123"/>
      <c r="I83" s="123"/>
      <c r="J83" s="123"/>
      <c r="K83" s="123"/>
      <c r="L83" s="123"/>
      <c r="M83" s="123"/>
    </row>
  </sheetData>
  <sheetProtection selectLockedCells="1"/>
  <mergeCells count="5">
    <mergeCell ref="A1:M1"/>
    <mergeCell ref="A3:A5"/>
    <mergeCell ref="B3:B4"/>
    <mergeCell ref="G3:I3"/>
    <mergeCell ref="K3:M3"/>
  </mergeCells>
  <phoneticPr fontId="2" type="noConversion"/>
  <printOptions horizontalCentered="1"/>
  <pageMargins left="0.35433070866141736" right="0.23622047244094491" top="0.78740157480314965" bottom="0.59055118110236227" header="0.51181102362204722" footer="0.39370078740157483"/>
  <pageSetup paperSize="9" scale="73"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enableFormatConditionsCalculation="0">
    <tabColor indexed="45"/>
  </sheetPr>
  <dimension ref="A1:H37"/>
  <sheetViews>
    <sheetView zoomScaleNormal="100" workbookViewId="0">
      <pane xSplit="1" ySplit="3" topLeftCell="B4" activePane="bottomRight" state="frozen"/>
      <selection pane="topRight"/>
      <selection pane="bottomLeft"/>
      <selection pane="bottomRight"/>
    </sheetView>
  </sheetViews>
  <sheetFormatPr defaultColWidth="9.1796875" defaultRowHeight="10" x14ac:dyDescent="0.2"/>
  <cols>
    <col min="1" max="1" width="20.7265625" style="2" customWidth="1"/>
    <col min="2" max="2" width="33.54296875" style="2" bestFit="1" customWidth="1"/>
    <col min="3" max="3" width="33.54296875" style="2" customWidth="1"/>
    <col min="4" max="4" width="23.453125" style="2" bestFit="1" customWidth="1"/>
    <col min="5" max="5" width="33.1796875" style="2" bestFit="1" customWidth="1"/>
    <col min="6" max="6" width="29" style="2" bestFit="1" customWidth="1"/>
    <col min="7" max="7" width="38" style="2" bestFit="1" customWidth="1"/>
    <col min="8" max="8" width="16" style="2" bestFit="1" customWidth="1"/>
    <col min="9" max="16384" width="9.1796875" style="2"/>
  </cols>
  <sheetData>
    <row r="1" spans="1:8" ht="13" x14ac:dyDescent="0.3">
      <c r="A1" s="1183" t="s">
        <v>1828</v>
      </c>
    </row>
    <row r="2" spans="1:8" s="130" customFormat="1" ht="21" x14ac:dyDescent="0.25">
      <c r="A2" s="131" t="s">
        <v>1711</v>
      </c>
      <c r="B2" s="2775" t="str">
        <f>'A4-FinPerf RE'!A4</f>
        <v>Revenue By Source</v>
      </c>
      <c r="C2" s="2776"/>
      <c r="D2" s="2775" t="str">
        <f>'A4-FinPerf RE'!A24</f>
        <v>Expenditure By Type</v>
      </c>
      <c r="E2" s="2776"/>
      <c r="F2" s="131" t="s">
        <v>1660</v>
      </c>
      <c r="G2" s="131" t="s">
        <v>1453</v>
      </c>
      <c r="H2" s="131" t="s">
        <v>1454</v>
      </c>
    </row>
    <row r="3" spans="1:8" s="130" customFormat="1" ht="10.5" x14ac:dyDescent="0.25">
      <c r="A3" s="133"/>
      <c r="B3" s="131" t="s">
        <v>1262</v>
      </c>
      <c r="C3" s="135" t="s">
        <v>1455</v>
      </c>
      <c r="D3" s="135" t="str">
        <f>B3</f>
        <v>Top level</v>
      </c>
      <c r="E3" s="135" t="str">
        <f>C3</f>
        <v>Supporting table level</v>
      </c>
      <c r="F3" s="135"/>
      <c r="G3" s="135"/>
      <c r="H3" s="134"/>
    </row>
    <row r="4" spans="1:8" ht="10.5" x14ac:dyDescent="0.25">
      <c r="A4" s="2" t="str">
        <f>'A2-FinPerf SC'!A5</f>
        <v>Governance and administration</v>
      </c>
      <c r="B4" s="2" t="str">
        <f>'A4-FinPerf RE'!A5</f>
        <v>Property rates</v>
      </c>
      <c r="D4" s="2" t="str">
        <f>'A4-FinPerf RE'!A25</f>
        <v>Employee related costs</v>
      </c>
      <c r="E4" s="2" t="str">
        <f>'SA1'!A49</f>
        <v>Basic Salaries and Wages</v>
      </c>
      <c r="F4" s="3" t="str">
        <f>'A6-FinPos'!A4</f>
        <v>ASSETS</v>
      </c>
      <c r="G4" s="3" t="str">
        <f>'A7-CFlow'!A4</f>
        <v>CASH FLOW FROM OPERATING ACTIVITIES</v>
      </c>
      <c r="H4" s="2" t="str">
        <f>'A9-Asset'!A11</f>
        <v>Infrastructure</v>
      </c>
    </row>
    <row r="5" spans="1:8" x14ac:dyDescent="0.2">
      <c r="A5" s="2" t="str">
        <f>'A2-FinPerf SC'!A6</f>
        <v>Executive and council</v>
      </c>
      <c r="B5" s="2" t="str">
        <f>'A4-FinPerf RE'!A6</f>
        <v>Property rates - penalties &amp; collection charges</v>
      </c>
      <c r="E5" s="2" t="str">
        <f>'SA1'!A50</f>
        <v>Pension and UIF Contributions</v>
      </c>
      <c r="F5" s="132" t="str">
        <f>'A6-FinPos'!A5</f>
        <v>Current assets</v>
      </c>
      <c r="G5" s="132" t="str">
        <f>'A7-CFlow'!A5</f>
        <v>Receipts</v>
      </c>
      <c r="H5" s="2" t="str">
        <f>'A9-Asset'!A12</f>
        <v>Community</v>
      </c>
    </row>
    <row r="6" spans="1:8" x14ac:dyDescent="0.2">
      <c r="A6" s="2" t="str">
        <f>'A2-FinPerf SC'!A7</f>
        <v>Budget and treasury office</v>
      </c>
      <c r="B6" s="2" t="str">
        <f>'A4-FinPerf RE'!A7</f>
        <v>Service charges - electricity revenue</v>
      </c>
      <c r="E6" s="2" t="str">
        <f>'SA1'!A51</f>
        <v>Medical Aid Contributions</v>
      </c>
      <c r="F6" s="2" t="str">
        <f>'A6-FinPos'!A6</f>
        <v>Cash</v>
      </c>
      <c r="G6" s="2" t="str">
        <f>'A7-CFlow'!A6</f>
        <v>Ratepayers and other</v>
      </c>
      <c r="H6" s="2" t="str">
        <f>'A9-Asset'!A13</f>
        <v>Heritage assets</v>
      </c>
    </row>
    <row r="7" spans="1:8" x14ac:dyDescent="0.2">
      <c r="A7" s="2" t="str">
        <f>'A2-FinPerf SC'!A8</f>
        <v>Corporate services</v>
      </c>
      <c r="B7" s="2" t="str">
        <f>'A4-FinPerf RE'!A8</f>
        <v>Service charges - water revenue</v>
      </c>
      <c r="E7" s="2" t="str">
        <f>'SA1'!A56</f>
        <v>Housing Allowances</v>
      </c>
      <c r="F7" s="2" t="str">
        <f>'A6-FinPos'!A7</f>
        <v>Call investment deposits</v>
      </c>
      <c r="G7" s="2" t="str">
        <f>'A7-CFlow'!A7</f>
        <v>Government - operating</v>
      </c>
      <c r="H7" s="2" t="str">
        <f>'A9-Asset'!A14</f>
        <v>Investment properties</v>
      </c>
    </row>
    <row r="8" spans="1:8" x14ac:dyDescent="0.2">
      <c r="A8" s="2" t="str">
        <f>'A2-FinPerf SC'!A9</f>
        <v>Community and public safety</v>
      </c>
      <c r="B8" s="2" t="str">
        <f>'A4-FinPerf RE'!A9</f>
        <v>Service charges - sanitation revenue</v>
      </c>
      <c r="E8" s="2" t="str">
        <f>'SA1'!A57</f>
        <v>Other benefits and allowances</v>
      </c>
      <c r="F8" s="2" t="str">
        <f>'A6-FinPos'!A8</f>
        <v>Consumer debtors</v>
      </c>
      <c r="G8" s="2" t="str">
        <f>'A7-CFlow'!A8</f>
        <v>Government - capital</v>
      </c>
      <c r="H8" s="2" t="str">
        <f>'A9-Asset'!A15</f>
        <v>Other assets</v>
      </c>
    </row>
    <row r="9" spans="1:8" x14ac:dyDescent="0.2">
      <c r="A9" s="2" t="str">
        <f>'A2-FinPerf SC'!A10</f>
        <v>Community and social services</v>
      </c>
      <c r="B9" s="2" t="str">
        <f>'A4-FinPerf RE'!A10</f>
        <v>Service charges - refuse revenue</v>
      </c>
      <c r="C9" s="2" t="str">
        <f>'SA1'!A27</f>
        <v>Total refuse removal revenue</v>
      </c>
      <c r="E9" s="2" t="str">
        <f>'SA1'!A58</f>
        <v>Payments in lieu of leave</v>
      </c>
      <c r="F9" s="2" t="str">
        <f>'A6-FinPos'!A9</f>
        <v>Other debtors</v>
      </c>
      <c r="G9" s="2" t="str">
        <f>'A7-CFlow'!A9</f>
        <v>Interest</v>
      </c>
      <c r="H9" s="2" t="str">
        <f>'A9-Asset'!A18</f>
        <v>Intangibles</v>
      </c>
    </row>
    <row r="10" spans="1:8" x14ac:dyDescent="0.2">
      <c r="A10" s="2" t="str">
        <f>'A2-FinPerf SC'!A11</f>
        <v>Sport and recreation</v>
      </c>
      <c r="C10" s="2" t="e">
        <f>'SA1'!#REF!</f>
        <v>#REF!</v>
      </c>
      <c r="E10" s="2" t="str">
        <f>'SA1'!A59</f>
        <v>Long service awards</v>
      </c>
      <c r="F10" s="2" t="str">
        <f>'A6-FinPos'!A10</f>
        <v>Current portion of long-term receivables</v>
      </c>
      <c r="G10" s="2" t="str">
        <f>'A7-CFlow'!A10</f>
        <v>Dividends</v>
      </c>
      <c r="H10" s="2" t="str">
        <f>'A9-Asset'!A17</f>
        <v>Biological assets</v>
      </c>
    </row>
    <row r="11" spans="1:8" x14ac:dyDescent="0.2">
      <c r="A11" s="2" t="str">
        <f>'A2-FinPerf SC'!A12</f>
        <v>Public safety</v>
      </c>
      <c r="B11" s="2" t="str">
        <f>'A4-FinPerf RE'!A11</f>
        <v>Service charges - other</v>
      </c>
      <c r="E11" s="2" t="str">
        <f>'SA1'!A60</f>
        <v>Post-retirement benefit obligations</v>
      </c>
      <c r="F11" s="2" t="str">
        <f>'A6-FinPos'!A11</f>
        <v>Inventory</v>
      </c>
      <c r="G11" s="132" t="str">
        <f>'A7-CFlow'!A11</f>
        <v>Payments</v>
      </c>
    </row>
    <row r="12" spans="1:8" x14ac:dyDescent="0.2">
      <c r="A12" s="2" t="str">
        <f>'A2-FinPerf SC'!A13</f>
        <v>Housing</v>
      </c>
      <c r="B12" s="2" t="str">
        <f>'A4-FinPerf RE'!A12</f>
        <v>Rental of facilities and equipment</v>
      </c>
      <c r="E12" s="2" t="str">
        <f>'SA1'!A62</f>
        <v>Less: Employees costs capitalised to PPE</v>
      </c>
      <c r="F12" s="132" t="str">
        <f>'A6-FinPos'!A14</f>
        <v>Non current assets</v>
      </c>
      <c r="G12" s="2" t="str">
        <f>'A7-CFlow'!A12</f>
        <v>Suppliers and employees</v>
      </c>
    </row>
    <row r="13" spans="1:8" x14ac:dyDescent="0.2">
      <c r="A13" s="2" t="str">
        <f>'A2-FinPerf SC'!A14</f>
        <v>Health</v>
      </c>
      <c r="B13" s="2" t="str">
        <f>'A4-FinPerf RE'!A13</f>
        <v>Interest earned - external investments</v>
      </c>
      <c r="D13" s="2" t="str">
        <f>'A4-FinPerf RE'!A26</f>
        <v>Remuneration of councillors</v>
      </c>
      <c r="F13" s="2" t="str">
        <f>'A6-FinPos'!A15</f>
        <v>Long-term receivables</v>
      </c>
      <c r="G13" s="2" t="str">
        <f>'A7-CFlow'!A13</f>
        <v>Finance charges</v>
      </c>
    </row>
    <row r="14" spans="1:8" x14ac:dyDescent="0.2">
      <c r="A14" s="2" t="str">
        <f>'A2-FinPerf SC'!A20</f>
        <v>Electricity</v>
      </c>
      <c r="B14" s="2" t="str">
        <f>'A4-FinPerf RE'!A14</f>
        <v>Interest earned - outstanding debtors</v>
      </c>
      <c r="D14" s="2" t="str">
        <f>'A4-FinPerf RE'!A27</f>
        <v>Debt impairment</v>
      </c>
      <c r="F14" s="2" t="str">
        <f>'A6-FinPos'!A16</f>
        <v>Investments</v>
      </c>
      <c r="G14" s="2" t="str">
        <f>'A7-CFlow'!A14</f>
        <v>Transfers and Grants</v>
      </c>
    </row>
    <row r="15" spans="1:8" ht="10.5" x14ac:dyDescent="0.25">
      <c r="A15" s="2" t="str">
        <f>'A2-FinPerf SC'!A21</f>
        <v>Water</v>
      </c>
      <c r="B15" s="2" t="str">
        <f>'A4-FinPerf RE'!A15</f>
        <v>Dividends received</v>
      </c>
      <c r="D15" s="2" t="str">
        <f>'A4-FinPerf RE'!A15</f>
        <v>Dividends received</v>
      </c>
      <c r="F15" s="2" t="str">
        <f>'A6-FinPos'!A17</f>
        <v>Investment property</v>
      </c>
      <c r="G15" s="3" t="str">
        <f>'A7-CFlow'!A17</f>
        <v>CASH FLOWS FROM INVESTING ACTIVITIES</v>
      </c>
    </row>
    <row r="16" spans="1:8" x14ac:dyDescent="0.2">
      <c r="A16" s="2" t="str">
        <f>'A2-FinPerf SC'!A22</f>
        <v>Waste water management</v>
      </c>
      <c r="B16" s="2" t="str">
        <f>'A4-FinPerf RE'!A16</f>
        <v>Fines</v>
      </c>
      <c r="D16" s="2" t="str">
        <f>'A4-FinPerf RE'!A28</f>
        <v>Depreciation &amp; asset impairment</v>
      </c>
      <c r="E16" s="2" t="str">
        <f>'SA1'!A75</f>
        <v>Depreciation of Property, Plant &amp; Equipment</v>
      </c>
      <c r="F16" s="2" t="str">
        <f>'A6-FinPos'!A18</f>
        <v>Investment in Associate</v>
      </c>
      <c r="G16" s="132" t="str">
        <f>'A7-CFlow'!A18</f>
        <v>Receipts</v>
      </c>
    </row>
    <row r="17" spans="1:7" x14ac:dyDescent="0.2">
      <c r="A17" s="2" t="str">
        <f>'A2-FinPerf SC'!A23</f>
        <v>Waste management</v>
      </c>
      <c r="B17" s="2" t="str">
        <f>'A4-FinPerf RE'!A17</f>
        <v>Licences and permits</v>
      </c>
      <c r="E17" s="2" t="str">
        <f>'SA1'!A77</f>
        <v>Capital asset impairment</v>
      </c>
      <c r="F17" s="2" t="str">
        <f>'A6-FinPos'!A19</f>
        <v>Property, plant and equipment</v>
      </c>
      <c r="G17" s="2" t="str">
        <f>'A7-CFlow'!A19</f>
        <v>Proceeds on disposal of PPE</v>
      </c>
    </row>
    <row r="18" spans="1:7" x14ac:dyDescent="0.2">
      <c r="A18" s="2" t="str">
        <f>'A2-FinPerf SC'!A24</f>
        <v>Other</v>
      </c>
      <c r="B18" s="2" t="str">
        <f>'A4-FinPerf RE'!A18</f>
        <v>Agency services</v>
      </c>
      <c r="D18" s="2" t="str">
        <f>'A4-FinPerf RE'!A29</f>
        <v>Finance charges</v>
      </c>
      <c r="F18" s="2" t="str">
        <f>'A6-FinPos'!A21</f>
        <v>Biological</v>
      </c>
    </row>
    <row r="19" spans="1:7" x14ac:dyDescent="0.2">
      <c r="B19" s="2" t="str">
        <f>'A4-FinPerf RE'!A19</f>
        <v>Transfers recognised - operational</v>
      </c>
      <c r="D19" s="2" t="str">
        <f>'A4-FinPerf RE'!A30</f>
        <v>Bulk purchases</v>
      </c>
      <c r="E19" s="2" t="str">
        <f>'SA1'!A82</f>
        <v>Electricity Bulk Purchases</v>
      </c>
      <c r="F19" s="2" t="str">
        <f>'A6-FinPos'!A22</f>
        <v>Intangible</v>
      </c>
      <c r="G19" s="2" t="str">
        <f>'A7-CFlow'!A20</f>
        <v>Decrease (Increase) in non-current debtors</v>
      </c>
    </row>
    <row r="20" spans="1:7" x14ac:dyDescent="0.2">
      <c r="B20" s="2" t="str">
        <f>'A4-FinPerf RE'!A20</f>
        <v>Other revenue</v>
      </c>
      <c r="C20" s="2" t="str">
        <f>'SA1'!A33</f>
        <v>Airport</v>
      </c>
      <c r="E20" s="2" t="str">
        <f>'SA1'!A83</f>
        <v>Water Bulk Purchases</v>
      </c>
      <c r="F20" s="2" t="str">
        <f>'A6-FinPos'!A23</f>
        <v>Other non-current assets</v>
      </c>
      <c r="G20" s="2" t="str">
        <f>'A7-CFlow'!A21</f>
        <v>Decrease (increase) other non-current receivables</v>
      </c>
    </row>
    <row r="21" spans="1:7" ht="10.5" x14ac:dyDescent="0.25">
      <c r="C21" s="2" t="e">
        <f>'SA1'!#REF!</f>
        <v>#REF!</v>
      </c>
      <c r="D21" s="2" t="str">
        <f>'A4-FinPerf RE'!A31</f>
        <v>Other materials</v>
      </c>
      <c r="F21" s="3" t="str">
        <f>'A6-FinPos'!A27</f>
        <v>LIABILITIES</v>
      </c>
    </row>
    <row r="22" spans="1:7" x14ac:dyDescent="0.2">
      <c r="C22" s="2" t="str">
        <f>'SA1'!A44</f>
        <v>Sundry Income</v>
      </c>
      <c r="D22" s="2" t="str">
        <f>'A4-FinPerf RE'!A32</f>
        <v>Contracted services</v>
      </c>
      <c r="E22" s="2" t="str">
        <f>'SA1'!A119</f>
        <v>Electricity</v>
      </c>
      <c r="F22" s="132" t="str">
        <f>'A6-FinPos'!A28</f>
        <v>Current liabilities</v>
      </c>
      <c r="G22" s="2" t="str">
        <f>'A7-CFlow'!A22</f>
        <v>Decrease (increase) in non-current investments</v>
      </c>
    </row>
    <row r="23" spans="1:7" x14ac:dyDescent="0.2">
      <c r="B23" s="2" t="str">
        <f>'A4-FinPerf RE'!A21</f>
        <v>Gains on disposal of PPE</v>
      </c>
      <c r="E23" s="2" t="str">
        <f>'SA1'!A120</f>
        <v>Water</v>
      </c>
      <c r="F23" s="2" t="str">
        <f>'A6-FinPos'!A29</f>
        <v>Bank overdraft</v>
      </c>
      <c r="G23" s="132" t="str">
        <f>'A7-CFlow'!A23</f>
        <v>Payments</v>
      </c>
    </row>
    <row r="24" spans="1:7" x14ac:dyDescent="0.2">
      <c r="B24" s="2" t="str">
        <f>'A4-FinPerf RE'!A39</f>
        <v>Transfers recognised - capital</v>
      </c>
      <c r="E24" s="2" t="str">
        <f>'SA1'!A121</f>
        <v>Sanitation</v>
      </c>
      <c r="F24" s="2" t="str">
        <f>'A6-FinPos'!A30</f>
        <v>Borrowing</v>
      </c>
      <c r="G24" s="1" t="str">
        <f>'A7-CFlow'!A24</f>
        <v>Capital assets</v>
      </c>
    </row>
    <row r="25" spans="1:7" ht="10.5" x14ac:dyDescent="0.25">
      <c r="B25" s="2" t="str">
        <f>'A4-FinPerf RE'!A40</f>
        <v>Contributions recognised - capital</v>
      </c>
      <c r="E25" s="2" t="str">
        <f>'SA1'!A122</f>
        <v>Other</v>
      </c>
      <c r="F25" s="2" t="str">
        <f>'A6-FinPos'!A31</f>
        <v>Consumer deposits</v>
      </c>
      <c r="G25" s="3" t="str">
        <f>'A7-CFlow'!A27</f>
        <v>CASH FLOWS FROM FINANCING ACTIVITIES</v>
      </c>
    </row>
    <row r="26" spans="1:7" x14ac:dyDescent="0.2">
      <c r="B26" s="2" t="str">
        <f>'A4-FinPerf RE'!A41</f>
        <v>Contributed assets</v>
      </c>
      <c r="D26" s="2" t="str">
        <f>'A4-FinPerf RE'!A33</f>
        <v>Transfers and grants</v>
      </c>
      <c r="F26" s="2" t="str">
        <f>'A6-FinPos'!A32</f>
        <v>Trade and other payables</v>
      </c>
      <c r="G26" s="132" t="str">
        <f>'A7-CFlow'!A28</f>
        <v>Receipts</v>
      </c>
    </row>
    <row r="27" spans="1:7" x14ac:dyDescent="0.2">
      <c r="B27" s="2" t="str">
        <f>'A4-FinPerf RE'!A43</f>
        <v>Taxation</v>
      </c>
      <c r="D27" s="2" t="str">
        <f>'A4-FinPerf RE'!A34</f>
        <v>Other expenditure</v>
      </c>
      <c r="E27" s="2" t="str">
        <f>'SA1'!A126</f>
        <v>Collection costs</v>
      </c>
      <c r="F27" s="2" t="e">
        <f>'A6-FinPos'!#REF!</f>
        <v>#REF!</v>
      </c>
      <c r="G27" s="2" t="str">
        <f>'A7-CFlow'!A29</f>
        <v>Short term loans</v>
      </c>
    </row>
    <row r="28" spans="1:7" x14ac:dyDescent="0.2">
      <c r="B28" s="2" t="str">
        <f>'A4-FinPerf RE'!A45</f>
        <v>Attributable to minorities</v>
      </c>
      <c r="E28" s="2" t="str">
        <f>'SA1'!A127</f>
        <v>Contributions to 'other' provisions</v>
      </c>
      <c r="F28" s="2" t="str">
        <f>'A6-FinPos'!A33</f>
        <v>Provisions</v>
      </c>
      <c r="G28" s="2" t="str">
        <f>'A7-CFlow'!A30</f>
        <v>Borrowing long term/refinancing</v>
      </c>
    </row>
    <row r="29" spans="1:7" x14ac:dyDescent="0.2">
      <c r="E29" s="2" t="str">
        <f>'SA1'!A128</f>
        <v>Consultant fees</v>
      </c>
      <c r="F29" s="132" t="str">
        <f>'A6-FinPos'!A36</f>
        <v>Non current liabilities</v>
      </c>
      <c r="G29" s="2" t="str">
        <f>'A7-CFlow'!A31</f>
        <v>Increase (decrease) in consumer deposits</v>
      </c>
    </row>
    <row r="30" spans="1:7" x14ac:dyDescent="0.2">
      <c r="E30" s="2" t="str">
        <f>'SA1'!A129</f>
        <v>Audit fees</v>
      </c>
      <c r="F30" s="2" t="str">
        <f>'A6-FinPos'!A37</f>
        <v>Borrowing</v>
      </c>
      <c r="G30" s="132" t="str">
        <f>'A7-CFlow'!A32</f>
        <v>Payments</v>
      </c>
    </row>
    <row r="31" spans="1:7" x14ac:dyDescent="0.2">
      <c r="E31" s="2" t="str">
        <f>'SA1'!A130</f>
        <v>General expenses</v>
      </c>
      <c r="F31" s="2" t="str">
        <f>'A6-FinPos'!A38</f>
        <v>Provisions</v>
      </c>
      <c r="G31" s="2" t="str">
        <f>'A7-CFlow'!A33</f>
        <v>Repayment of borrowing</v>
      </c>
    </row>
    <row r="32" spans="1:7" ht="10.5" x14ac:dyDescent="0.25">
      <c r="D32" s="2" t="str">
        <f>'A4-FinPerf RE'!A35</f>
        <v>Loss on disposal of PPE</v>
      </c>
      <c r="F32" s="3" t="str">
        <f>'A6-FinPos'!A39</f>
        <v>Total non current liabilities</v>
      </c>
      <c r="G32" s="132" t="str">
        <f>'A7-CFlow'!A37</f>
        <v>Cash/cash equivalents at the year begin:</v>
      </c>
    </row>
    <row r="33" spans="6:7" ht="10.5" x14ac:dyDescent="0.25">
      <c r="F33" s="3" t="str">
        <f>'A6-FinPos'!A42</f>
        <v>NET ASSETS</v>
      </c>
      <c r="G33" s="132" t="str">
        <f>'A7-CFlow'!A38</f>
        <v>Cash/cash equivalents at the year end:</v>
      </c>
    </row>
    <row r="34" spans="6:7" ht="10.5" x14ac:dyDescent="0.25">
      <c r="F34" s="3" t="str">
        <f>'A6-FinPos'!A44</f>
        <v>COMMUNITY WEALTH/EQUITY</v>
      </c>
    </row>
    <row r="35" spans="6:7" x14ac:dyDescent="0.2">
      <c r="F35" s="2" t="str">
        <f>'A6-FinPos'!A45</f>
        <v>Accumulated Surplus/(Deficit)</v>
      </c>
    </row>
    <row r="36" spans="6:7" x14ac:dyDescent="0.2">
      <c r="F36" s="2" t="str">
        <f>'A6-FinPos'!A46</f>
        <v>Reserves</v>
      </c>
    </row>
    <row r="37" spans="6:7" x14ac:dyDescent="0.2">
      <c r="F37" s="2" t="str">
        <f>'A6-FinPos'!A47</f>
        <v>Minorities' interests</v>
      </c>
    </row>
  </sheetData>
  <sheetProtection selectLockedCells="1"/>
  <mergeCells count="2">
    <mergeCell ref="B2:C2"/>
    <mergeCell ref="D2:E2"/>
  </mergeCells>
  <phoneticPr fontId="2" type="noConversion"/>
  <pageMargins left="0.75" right="0.75" top="1" bottom="1" header="0.5" footer="0.5"/>
  <pageSetup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0"/>
    <pageSetUpPr fitToPage="1"/>
  </sheetPr>
  <dimension ref="A1:L79"/>
  <sheetViews>
    <sheetView zoomScaleNormal="100" workbookViewId="0"/>
  </sheetViews>
  <sheetFormatPr defaultRowHeight="12.5" x14ac:dyDescent="0.25"/>
  <sheetData>
    <row r="1" spans="1:12" ht="13" x14ac:dyDescent="0.3">
      <c r="A1" s="1183" t="s">
        <v>1827</v>
      </c>
    </row>
    <row r="2" spans="1:12" x14ac:dyDescent="0.25">
      <c r="A2" s="2777" t="s">
        <v>1716</v>
      </c>
      <c r="B2" s="2778"/>
      <c r="C2" s="2778"/>
      <c r="D2" s="2778"/>
      <c r="E2" s="2778"/>
      <c r="F2" s="2778"/>
      <c r="G2" s="2778"/>
      <c r="H2" s="2778"/>
      <c r="I2" s="2778"/>
      <c r="J2" s="2779"/>
      <c r="K2" s="2"/>
      <c r="L2" s="2"/>
    </row>
    <row r="3" spans="1:12" x14ac:dyDescent="0.25">
      <c r="A3" s="41" t="s">
        <v>1664</v>
      </c>
      <c r="B3" s="49"/>
      <c r="C3" s="49"/>
      <c r="D3" s="49"/>
      <c r="E3" s="42"/>
      <c r="F3" s="42"/>
      <c r="G3" s="42"/>
      <c r="H3" s="42"/>
      <c r="I3" s="42"/>
      <c r="J3" s="43"/>
      <c r="K3" s="2"/>
      <c r="L3" s="2"/>
    </row>
    <row r="4" spans="1:12" x14ac:dyDescent="0.25">
      <c r="A4" s="44" t="s">
        <v>675</v>
      </c>
      <c r="B4" s="50"/>
      <c r="C4" s="50"/>
      <c r="D4" s="50"/>
      <c r="E4" s="45"/>
      <c r="F4" s="45"/>
      <c r="G4" s="45"/>
      <c r="H4" s="45"/>
      <c r="I4" s="45"/>
      <c r="J4" s="46"/>
      <c r="K4" s="2"/>
      <c r="L4" s="2"/>
    </row>
    <row r="5" spans="1:12" x14ac:dyDescent="0.25">
      <c r="A5" s="44" t="s">
        <v>1718</v>
      </c>
      <c r="B5" s="50"/>
      <c r="C5" s="50"/>
      <c r="D5" s="50"/>
      <c r="E5" s="45"/>
      <c r="F5" s="45"/>
      <c r="G5" s="45"/>
      <c r="H5" s="45"/>
      <c r="I5" s="45"/>
      <c r="J5" s="46"/>
      <c r="K5" s="2"/>
      <c r="L5" s="2"/>
    </row>
    <row r="6" spans="1:12" x14ac:dyDescent="0.25">
      <c r="A6" s="44" t="s">
        <v>1717</v>
      </c>
      <c r="B6" s="50"/>
      <c r="C6" s="50"/>
      <c r="D6" s="50"/>
      <c r="E6" s="45"/>
      <c r="F6" s="45"/>
      <c r="G6" s="45"/>
      <c r="H6" s="45"/>
      <c r="I6" s="45"/>
      <c r="J6" s="46"/>
      <c r="K6" s="2"/>
      <c r="L6" s="2"/>
    </row>
    <row r="7" spans="1:12" x14ac:dyDescent="0.25">
      <c r="A7" s="44" t="s">
        <v>1672</v>
      </c>
      <c r="B7" s="50"/>
      <c r="C7" s="50"/>
      <c r="D7" s="50"/>
      <c r="E7" s="45"/>
      <c r="F7" s="45"/>
      <c r="G7" s="45"/>
      <c r="H7" s="45"/>
      <c r="I7" s="45"/>
      <c r="J7" s="46"/>
      <c r="K7" s="2"/>
      <c r="L7" s="2"/>
    </row>
    <row r="8" spans="1:12" x14ac:dyDescent="0.25">
      <c r="A8" s="2777" t="s">
        <v>1665</v>
      </c>
      <c r="B8" s="2778"/>
      <c r="C8" s="2778"/>
      <c r="D8" s="2778"/>
      <c r="E8" s="2778"/>
      <c r="F8" s="2778"/>
      <c r="G8" s="2778"/>
      <c r="H8" s="2778"/>
      <c r="I8" s="2778"/>
      <c r="J8" s="2779"/>
      <c r="K8" s="2"/>
      <c r="L8" s="2"/>
    </row>
    <row r="9" spans="1:12" x14ac:dyDescent="0.25">
      <c r="A9" s="47" t="s">
        <v>1666</v>
      </c>
      <c r="B9" s="40" t="s">
        <v>1683</v>
      </c>
      <c r="C9" s="40" t="s">
        <v>1684</v>
      </c>
      <c r="D9" s="40" t="s">
        <v>1685</v>
      </c>
      <c r="E9" s="2780" t="s">
        <v>1667</v>
      </c>
      <c r="F9" s="2781"/>
      <c r="G9" s="2781"/>
      <c r="H9" s="2782"/>
      <c r="I9" s="48" t="s">
        <v>1668</v>
      </c>
      <c r="J9" s="48" t="s">
        <v>1519</v>
      </c>
      <c r="K9" s="48" t="s">
        <v>1708</v>
      </c>
      <c r="L9" s="48" t="s">
        <v>1709</v>
      </c>
    </row>
    <row r="10" spans="1:12" x14ac:dyDescent="0.25">
      <c r="A10" s="21">
        <v>3</v>
      </c>
      <c r="B10" s="21" t="s">
        <v>1669</v>
      </c>
      <c r="C10" s="21" t="s">
        <v>1669</v>
      </c>
      <c r="D10" s="21" t="s">
        <v>1669</v>
      </c>
      <c r="E10" s="10" t="str">
        <f t="shared" ref="E10:E19" si="0">IF(A10=3,"Fully completed",IF(A10=2,"Substantially completed with missing information",IF(A10=1,"Presented but with numerous information gaps",IF(A10=0,"Not presented","error"))))</f>
        <v>Fully completed</v>
      </c>
      <c r="F10" s="6"/>
      <c r="G10" s="6"/>
      <c r="H10" s="18"/>
      <c r="I10" s="52">
        <v>0.01</v>
      </c>
      <c r="J10" s="64">
        <f t="shared" ref="J10:J19" si="1">ROUND(((A10*I10)*100)/Scale,2)</f>
        <v>0.98</v>
      </c>
      <c r="K10" s="4">
        <v>3</v>
      </c>
      <c r="L10" s="60">
        <f t="shared" ref="L10:L19" si="2">ROUND((K10*I10)*100,0)</f>
        <v>3</v>
      </c>
    </row>
    <row r="11" spans="1:12" x14ac:dyDescent="0.25">
      <c r="A11" s="4">
        <v>3</v>
      </c>
      <c r="B11" s="4" t="s">
        <v>1669</v>
      </c>
      <c r="C11" s="4" t="s">
        <v>1669</v>
      </c>
      <c r="D11" s="4" t="s">
        <v>1669</v>
      </c>
      <c r="E11" s="10" t="str">
        <f t="shared" si="0"/>
        <v>Fully completed</v>
      </c>
      <c r="F11" s="6"/>
      <c r="G11" s="6"/>
      <c r="H11" s="18"/>
      <c r="I11" s="52">
        <v>0.06</v>
      </c>
      <c r="J11" s="64">
        <f t="shared" si="1"/>
        <v>5.9</v>
      </c>
      <c r="K11" s="4">
        <v>3</v>
      </c>
      <c r="L11" s="60">
        <f t="shared" si="2"/>
        <v>18</v>
      </c>
    </row>
    <row r="12" spans="1:12" x14ac:dyDescent="0.25">
      <c r="A12" s="4">
        <v>3</v>
      </c>
      <c r="B12" s="4" t="s">
        <v>1669</v>
      </c>
      <c r="C12" s="4" t="s">
        <v>1669</v>
      </c>
      <c r="D12" s="4" t="s">
        <v>1669</v>
      </c>
      <c r="E12" s="10" t="str">
        <f t="shared" si="0"/>
        <v>Fully completed</v>
      </c>
      <c r="F12" s="6"/>
      <c r="G12" s="6"/>
      <c r="H12" s="18"/>
      <c r="I12" s="52">
        <v>0.03</v>
      </c>
      <c r="J12" s="64">
        <f t="shared" si="1"/>
        <v>2.95</v>
      </c>
      <c r="K12" s="4">
        <v>3</v>
      </c>
      <c r="L12" s="60">
        <f t="shared" si="2"/>
        <v>9</v>
      </c>
    </row>
    <row r="13" spans="1:12" x14ac:dyDescent="0.25">
      <c r="A13" s="4">
        <v>3</v>
      </c>
      <c r="B13" s="4" t="s">
        <v>1669</v>
      </c>
      <c r="C13" s="4" t="s">
        <v>1669</v>
      </c>
      <c r="D13" s="4" t="s">
        <v>1669</v>
      </c>
      <c r="E13" s="10" t="str">
        <f t="shared" si="0"/>
        <v>Fully completed</v>
      </c>
      <c r="F13" s="6"/>
      <c r="G13" s="6"/>
      <c r="H13" s="18"/>
      <c r="I13" s="52">
        <v>0.04</v>
      </c>
      <c r="J13" s="64">
        <f t="shared" si="1"/>
        <v>3.93</v>
      </c>
      <c r="K13" s="4">
        <v>3</v>
      </c>
      <c r="L13" s="60">
        <f t="shared" si="2"/>
        <v>12</v>
      </c>
    </row>
    <row r="14" spans="1:12" x14ac:dyDescent="0.25">
      <c r="A14" s="4">
        <v>3</v>
      </c>
      <c r="B14" s="4" t="s">
        <v>1669</v>
      </c>
      <c r="C14" s="4" t="s">
        <v>1669</v>
      </c>
      <c r="D14" s="4" t="s">
        <v>1669</v>
      </c>
      <c r="E14" s="10" t="str">
        <f t="shared" si="0"/>
        <v>Fully completed</v>
      </c>
      <c r="F14" s="6"/>
      <c r="G14" s="6"/>
      <c r="H14" s="18"/>
      <c r="I14" s="52">
        <v>0.06</v>
      </c>
      <c r="J14" s="64">
        <f t="shared" si="1"/>
        <v>5.9</v>
      </c>
      <c r="K14" s="4">
        <v>3</v>
      </c>
      <c r="L14" s="60">
        <f t="shared" si="2"/>
        <v>18</v>
      </c>
    </row>
    <row r="15" spans="1:12" x14ac:dyDescent="0.25">
      <c r="A15" s="4">
        <v>3</v>
      </c>
      <c r="B15" s="4" t="s">
        <v>1669</v>
      </c>
      <c r="C15" s="4" t="s">
        <v>1669</v>
      </c>
      <c r="D15" s="4" t="s">
        <v>1669</v>
      </c>
      <c r="E15" s="10" t="str">
        <f t="shared" si="0"/>
        <v>Fully completed</v>
      </c>
      <c r="F15" s="6"/>
      <c r="G15" s="6"/>
      <c r="H15" s="18"/>
      <c r="I15" s="52">
        <v>0.03</v>
      </c>
      <c r="J15" s="64">
        <f t="shared" si="1"/>
        <v>2.95</v>
      </c>
      <c r="K15" s="4">
        <v>3</v>
      </c>
      <c r="L15" s="60">
        <f t="shared" si="2"/>
        <v>9</v>
      </c>
    </row>
    <row r="16" spans="1:12" x14ac:dyDescent="0.25">
      <c r="A16" s="4">
        <v>3</v>
      </c>
      <c r="B16" s="4" t="s">
        <v>1669</v>
      </c>
      <c r="C16" s="4" t="s">
        <v>1669</v>
      </c>
      <c r="D16" s="4" t="s">
        <v>1669</v>
      </c>
      <c r="E16" s="10" t="str">
        <f t="shared" si="0"/>
        <v>Fully completed</v>
      </c>
      <c r="F16" s="6"/>
      <c r="G16" s="6"/>
      <c r="H16" s="18"/>
      <c r="I16" s="52">
        <v>0.04</v>
      </c>
      <c r="J16" s="64">
        <f t="shared" si="1"/>
        <v>3.93</v>
      </c>
      <c r="K16" s="4">
        <v>3</v>
      </c>
      <c r="L16" s="60">
        <f t="shared" si="2"/>
        <v>12</v>
      </c>
    </row>
    <row r="17" spans="1:12" x14ac:dyDescent="0.25">
      <c r="A17" s="4">
        <v>2</v>
      </c>
      <c r="B17" s="4" t="s">
        <v>1669</v>
      </c>
      <c r="C17" s="4" t="s">
        <v>1669</v>
      </c>
      <c r="D17" s="4" t="s">
        <v>1669</v>
      </c>
      <c r="E17" s="10" t="str">
        <f t="shared" si="0"/>
        <v>Substantially completed with missing information</v>
      </c>
      <c r="F17" s="6"/>
      <c r="G17" s="6"/>
      <c r="H17" s="18"/>
      <c r="I17" s="52">
        <v>0.03</v>
      </c>
      <c r="J17" s="64">
        <f t="shared" si="1"/>
        <v>1.97</v>
      </c>
      <c r="K17" s="4">
        <v>3</v>
      </c>
      <c r="L17" s="60">
        <f t="shared" si="2"/>
        <v>9</v>
      </c>
    </row>
    <row r="18" spans="1:12" x14ac:dyDescent="0.25">
      <c r="A18" s="4">
        <v>2</v>
      </c>
      <c r="B18" s="4" t="s">
        <v>1670</v>
      </c>
      <c r="C18" s="4" t="s">
        <v>1670</v>
      </c>
      <c r="D18" s="24" t="s">
        <v>1669</v>
      </c>
      <c r="E18" s="10" t="str">
        <f t="shared" si="0"/>
        <v>Substantially completed with missing information</v>
      </c>
      <c r="F18" s="6"/>
      <c r="G18" s="6"/>
      <c r="H18" s="18"/>
      <c r="I18" s="52">
        <v>0.02</v>
      </c>
      <c r="J18" s="64">
        <f t="shared" si="1"/>
        <v>1.31</v>
      </c>
      <c r="K18" s="4">
        <v>3</v>
      </c>
      <c r="L18" s="60">
        <f t="shared" si="2"/>
        <v>6</v>
      </c>
    </row>
    <row r="19" spans="1:12" x14ac:dyDescent="0.25">
      <c r="A19" s="22">
        <v>1</v>
      </c>
      <c r="B19" s="22" t="s">
        <v>1670</v>
      </c>
      <c r="C19" s="25" t="s">
        <v>1669</v>
      </c>
      <c r="D19" s="25" t="s">
        <v>1669</v>
      </c>
      <c r="E19" s="11" t="str">
        <f t="shared" si="0"/>
        <v>Presented but with numerous information gaps</v>
      </c>
      <c r="F19" s="19"/>
      <c r="G19" s="19"/>
      <c r="H19" s="20"/>
      <c r="I19" s="53">
        <v>0.03</v>
      </c>
      <c r="J19" s="65">
        <f t="shared" si="1"/>
        <v>0.98</v>
      </c>
      <c r="K19" s="4">
        <v>3</v>
      </c>
      <c r="L19" s="60">
        <f t="shared" si="2"/>
        <v>9</v>
      </c>
    </row>
    <row r="20" spans="1:12" x14ac:dyDescent="0.25">
      <c r="A20" s="9"/>
      <c r="B20" s="9"/>
      <c r="C20" s="9"/>
      <c r="D20" s="9"/>
      <c r="E20" s="2"/>
      <c r="F20" s="2"/>
      <c r="G20" s="2"/>
      <c r="H20" s="51" t="s">
        <v>1671</v>
      </c>
      <c r="I20" s="7">
        <f>SUM(I10:I19)</f>
        <v>0.35</v>
      </c>
      <c r="J20" s="62">
        <f>SUM(J10:J19)</f>
        <v>30.8</v>
      </c>
      <c r="K20" s="12"/>
      <c r="L20" s="60"/>
    </row>
    <row r="21" spans="1:12" x14ac:dyDescent="0.25">
      <c r="A21" s="21">
        <v>3</v>
      </c>
      <c r="B21" s="21" t="s">
        <v>1669</v>
      </c>
      <c r="C21" s="23" t="s">
        <v>1669</v>
      </c>
      <c r="D21" s="23" t="s">
        <v>1669</v>
      </c>
      <c r="E21" s="54" t="str">
        <f t="shared" ref="E21:E35" si="3">IF(A21=3,"Fully completed",IF(A21=2,"Substantially completed with missing information",IF(A21=1,"Presented but with numerous information gaps",IF(A21=0,"Not presented","error"))))</f>
        <v>Fully completed</v>
      </c>
      <c r="F21" s="16"/>
      <c r="G21" s="16"/>
      <c r="H21" s="17"/>
      <c r="I21" s="55">
        <v>0.02</v>
      </c>
      <c r="J21" s="66">
        <f t="shared" ref="J21:J35" si="4">ROUND(((A21*I21)*100)/Scale,2)</f>
        <v>1.97</v>
      </c>
      <c r="K21" s="4">
        <v>3</v>
      </c>
      <c r="L21" s="60">
        <f t="shared" ref="L21:L35" si="5">ROUND((K21*I21)*100,0)</f>
        <v>6</v>
      </c>
    </row>
    <row r="22" spans="1:12" x14ac:dyDescent="0.25">
      <c r="A22" s="4">
        <v>1</v>
      </c>
      <c r="B22" s="4" t="s">
        <v>1670</v>
      </c>
      <c r="C22" s="4" t="s">
        <v>1670</v>
      </c>
      <c r="D22" s="24" t="s">
        <v>1669</v>
      </c>
      <c r="E22" s="10" t="str">
        <f t="shared" si="3"/>
        <v>Presented but with numerous information gaps</v>
      </c>
      <c r="F22" s="6"/>
      <c r="G22" s="6"/>
      <c r="H22" s="18"/>
      <c r="I22" s="52">
        <v>0.01</v>
      </c>
      <c r="J22" s="64">
        <f t="shared" si="4"/>
        <v>0.33</v>
      </c>
      <c r="K22" s="4">
        <v>3</v>
      </c>
      <c r="L22" s="60">
        <f t="shared" si="5"/>
        <v>3</v>
      </c>
    </row>
    <row r="23" spans="1:12" x14ac:dyDescent="0.25">
      <c r="A23" s="4">
        <v>3</v>
      </c>
      <c r="B23" s="4" t="s">
        <v>1669</v>
      </c>
      <c r="C23" s="4" t="s">
        <v>1669</v>
      </c>
      <c r="D23" s="24" t="s">
        <v>1669</v>
      </c>
      <c r="E23" s="10" t="str">
        <f t="shared" si="3"/>
        <v>Fully completed</v>
      </c>
      <c r="F23" s="6"/>
      <c r="G23" s="6"/>
      <c r="H23" s="18"/>
      <c r="I23" s="52">
        <v>0.02</v>
      </c>
      <c r="J23" s="64">
        <f t="shared" si="4"/>
        <v>1.97</v>
      </c>
      <c r="K23" s="4">
        <v>3</v>
      </c>
      <c r="L23" s="60">
        <f t="shared" si="5"/>
        <v>6</v>
      </c>
    </row>
    <row r="24" spans="1:12" x14ac:dyDescent="0.25">
      <c r="A24" s="4">
        <v>3</v>
      </c>
      <c r="B24" s="4" t="s">
        <v>1670</v>
      </c>
      <c r="C24" s="24" t="s">
        <v>1669</v>
      </c>
      <c r="D24" s="24" t="s">
        <v>1669</v>
      </c>
      <c r="E24" s="10" t="str">
        <f t="shared" si="3"/>
        <v>Fully completed</v>
      </c>
      <c r="F24" s="6"/>
      <c r="G24" s="6"/>
      <c r="H24" s="18"/>
      <c r="I24" s="52">
        <v>0.01</v>
      </c>
      <c r="J24" s="64">
        <f t="shared" si="4"/>
        <v>0.98</v>
      </c>
      <c r="K24" s="4">
        <v>3</v>
      </c>
      <c r="L24" s="60">
        <f t="shared" si="5"/>
        <v>3</v>
      </c>
    </row>
    <row r="25" spans="1:12" x14ac:dyDescent="0.25">
      <c r="A25" s="4">
        <v>3</v>
      </c>
      <c r="B25" s="4" t="s">
        <v>1670</v>
      </c>
      <c r="C25" s="24" t="s">
        <v>1669</v>
      </c>
      <c r="D25" s="24" t="s">
        <v>1669</v>
      </c>
      <c r="E25" s="10" t="str">
        <f t="shared" si="3"/>
        <v>Fully completed</v>
      </c>
      <c r="F25" s="6"/>
      <c r="G25" s="6"/>
      <c r="H25" s="18"/>
      <c r="I25" s="52">
        <v>0.01</v>
      </c>
      <c r="J25" s="64">
        <f t="shared" si="4"/>
        <v>0.98</v>
      </c>
      <c r="K25" s="4">
        <v>3</v>
      </c>
      <c r="L25" s="60">
        <f t="shared" si="5"/>
        <v>3</v>
      </c>
    </row>
    <row r="26" spans="1:12" x14ac:dyDescent="0.25">
      <c r="A26" s="4">
        <v>3</v>
      </c>
      <c r="B26" s="4" t="s">
        <v>1670</v>
      </c>
      <c r="C26" s="24" t="s">
        <v>1669</v>
      </c>
      <c r="D26" s="24" t="s">
        <v>1669</v>
      </c>
      <c r="E26" s="10" t="str">
        <f t="shared" si="3"/>
        <v>Fully completed</v>
      </c>
      <c r="F26" s="6"/>
      <c r="G26" s="6"/>
      <c r="H26" s="18"/>
      <c r="I26" s="52">
        <v>0.01</v>
      </c>
      <c r="J26" s="64">
        <f t="shared" si="4"/>
        <v>0.98</v>
      </c>
      <c r="K26" s="4">
        <v>3</v>
      </c>
      <c r="L26" s="60">
        <f t="shared" si="5"/>
        <v>3</v>
      </c>
    </row>
    <row r="27" spans="1:12" x14ac:dyDescent="0.25">
      <c r="A27" s="4">
        <v>0</v>
      </c>
      <c r="B27" s="4" t="s">
        <v>1670</v>
      </c>
      <c r="C27" s="24" t="s">
        <v>1669</v>
      </c>
      <c r="D27" s="24" t="s">
        <v>1669</v>
      </c>
      <c r="E27" s="10" t="str">
        <f t="shared" si="3"/>
        <v>Not presented</v>
      </c>
      <c r="F27" s="6"/>
      <c r="G27" s="6"/>
      <c r="H27" s="18"/>
      <c r="I27" s="52">
        <v>0.01</v>
      </c>
      <c r="J27" s="64">
        <f t="shared" si="4"/>
        <v>0</v>
      </c>
      <c r="K27" s="4">
        <v>3</v>
      </c>
      <c r="L27" s="60">
        <f t="shared" si="5"/>
        <v>3</v>
      </c>
    </row>
    <row r="28" spans="1:12" x14ac:dyDescent="0.25">
      <c r="A28" s="4">
        <v>2</v>
      </c>
      <c r="B28" s="4" t="s">
        <v>1669</v>
      </c>
      <c r="C28" s="4" t="s">
        <v>1669</v>
      </c>
      <c r="D28" s="4" t="s">
        <v>1669</v>
      </c>
      <c r="E28" s="10" t="str">
        <f t="shared" si="3"/>
        <v>Substantially completed with missing information</v>
      </c>
      <c r="F28" s="6"/>
      <c r="G28" s="6"/>
      <c r="H28" s="18"/>
      <c r="I28" s="52">
        <v>0.01</v>
      </c>
      <c r="J28" s="64">
        <f t="shared" si="4"/>
        <v>0.66</v>
      </c>
      <c r="K28" s="4">
        <v>3</v>
      </c>
      <c r="L28" s="60">
        <f t="shared" si="5"/>
        <v>3</v>
      </c>
    </row>
    <row r="29" spans="1:12" x14ac:dyDescent="0.25">
      <c r="A29" s="4">
        <v>3</v>
      </c>
      <c r="B29" s="4" t="s">
        <v>1670</v>
      </c>
      <c r="C29" s="24" t="s">
        <v>1670</v>
      </c>
      <c r="D29" s="4" t="s">
        <v>1669</v>
      </c>
      <c r="E29" s="10" t="str">
        <f t="shared" si="3"/>
        <v>Fully completed</v>
      </c>
      <c r="F29" s="6"/>
      <c r="G29" s="6"/>
      <c r="H29" s="18"/>
      <c r="I29" s="52">
        <v>0.01</v>
      </c>
      <c r="J29" s="64">
        <f t="shared" si="4"/>
        <v>0.98</v>
      </c>
      <c r="K29" s="4">
        <v>3</v>
      </c>
      <c r="L29" s="60">
        <f t="shared" si="5"/>
        <v>3</v>
      </c>
    </row>
    <row r="30" spans="1:12" x14ac:dyDescent="0.25">
      <c r="A30" s="4">
        <v>2</v>
      </c>
      <c r="B30" s="4" t="s">
        <v>1669</v>
      </c>
      <c r="C30" s="4" t="s">
        <v>1669</v>
      </c>
      <c r="D30" s="4" t="s">
        <v>1669</v>
      </c>
      <c r="E30" s="10" t="str">
        <f t="shared" si="3"/>
        <v>Substantially completed with missing information</v>
      </c>
      <c r="F30" s="6"/>
      <c r="G30" s="6"/>
      <c r="H30" s="18"/>
      <c r="I30" s="52">
        <v>0.03</v>
      </c>
      <c r="J30" s="64">
        <f t="shared" si="4"/>
        <v>1.97</v>
      </c>
      <c r="K30" s="4">
        <v>3</v>
      </c>
      <c r="L30" s="60">
        <f t="shared" si="5"/>
        <v>9</v>
      </c>
    </row>
    <row r="31" spans="1:12" x14ac:dyDescent="0.25">
      <c r="A31" s="4">
        <v>3</v>
      </c>
      <c r="B31" s="4" t="s">
        <v>1669</v>
      </c>
      <c r="C31" s="4" t="s">
        <v>1669</v>
      </c>
      <c r="D31" s="4" t="s">
        <v>1669</v>
      </c>
      <c r="E31" s="10" t="str">
        <f t="shared" si="3"/>
        <v>Fully completed</v>
      </c>
      <c r="F31" s="6"/>
      <c r="G31" s="6"/>
      <c r="H31" s="18"/>
      <c r="I31" s="52">
        <v>0.01</v>
      </c>
      <c r="J31" s="64">
        <f t="shared" si="4"/>
        <v>0.98</v>
      </c>
      <c r="K31" s="4">
        <v>3</v>
      </c>
      <c r="L31" s="60">
        <f t="shared" si="5"/>
        <v>3</v>
      </c>
    </row>
    <row r="32" spans="1:12" x14ac:dyDescent="0.25">
      <c r="A32" s="4">
        <v>3</v>
      </c>
      <c r="B32" s="4" t="s">
        <v>1669</v>
      </c>
      <c r="C32" s="4" t="s">
        <v>1669</v>
      </c>
      <c r="D32" s="4" t="s">
        <v>1669</v>
      </c>
      <c r="E32" s="10" t="str">
        <f t="shared" si="3"/>
        <v>Fully completed</v>
      </c>
      <c r="F32" s="6"/>
      <c r="G32" s="6"/>
      <c r="H32" s="18"/>
      <c r="I32" s="52">
        <v>0.01</v>
      </c>
      <c r="J32" s="64">
        <f t="shared" si="4"/>
        <v>0.98</v>
      </c>
      <c r="K32" s="4">
        <v>3</v>
      </c>
      <c r="L32" s="60">
        <f t="shared" si="5"/>
        <v>3</v>
      </c>
    </row>
    <row r="33" spans="1:12" x14ac:dyDescent="0.25">
      <c r="A33" s="4">
        <v>3</v>
      </c>
      <c r="B33" s="4" t="s">
        <v>1669</v>
      </c>
      <c r="C33" s="4" t="s">
        <v>1669</v>
      </c>
      <c r="D33" s="4" t="s">
        <v>1669</v>
      </c>
      <c r="E33" s="10" t="str">
        <f t="shared" si="3"/>
        <v>Fully completed</v>
      </c>
      <c r="F33" s="6"/>
      <c r="G33" s="6"/>
      <c r="H33" s="18"/>
      <c r="I33" s="52">
        <v>0.01</v>
      </c>
      <c r="J33" s="64">
        <f t="shared" si="4"/>
        <v>0.98</v>
      </c>
      <c r="K33" s="4">
        <v>3</v>
      </c>
      <c r="L33" s="60">
        <f t="shared" si="5"/>
        <v>3</v>
      </c>
    </row>
    <row r="34" spans="1:12" x14ac:dyDescent="0.25">
      <c r="A34" s="4">
        <v>0</v>
      </c>
      <c r="B34" s="4" t="s">
        <v>1669</v>
      </c>
      <c r="C34" s="4" t="s">
        <v>1669</v>
      </c>
      <c r="D34" s="4" t="s">
        <v>1669</v>
      </c>
      <c r="E34" s="10" t="str">
        <f t="shared" si="3"/>
        <v>Not presented</v>
      </c>
      <c r="F34" s="6"/>
      <c r="G34" s="6"/>
      <c r="H34" s="18"/>
      <c r="I34" s="52">
        <v>0.02</v>
      </c>
      <c r="J34" s="64">
        <f t="shared" si="4"/>
        <v>0</v>
      </c>
      <c r="K34" s="4">
        <v>3</v>
      </c>
      <c r="L34" s="60">
        <f t="shared" si="5"/>
        <v>6</v>
      </c>
    </row>
    <row r="35" spans="1:12" x14ac:dyDescent="0.25">
      <c r="A35" s="4">
        <v>0</v>
      </c>
      <c r="B35" s="4" t="s">
        <v>1670</v>
      </c>
      <c r="C35" s="24" t="s">
        <v>1669</v>
      </c>
      <c r="D35" s="24" t="s">
        <v>1669</v>
      </c>
      <c r="E35" s="10" t="str">
        <f t="shared" si="3"/>
        <v>Not presented</v>
      </c>
      <c r="F35" s="6"/>
      <c r="G35" s="6"/>
      <c r="H35" s="18"/>
      <c r="I35" s="52">
        <v>0.02</v>
      </c>
      <c r="J35" s="64">
        <f t="shared" si="4"/>
        <v>0</v>
      </c>
      <c r="K35" s="4">
        <v>3</v>
      </c>
      <c r="L35" s="60">
        <f t="shared" si="5"/>
        <v>6</v>
      </c>
    </row>
    <row r="36" spans="1:12" x14ac:dyDescent="0.25">
      <c r="A36" s="4"/>
      <c r="B36" s="4"/>
      <c r="C36" s="24"/>
      <c r="D36" s="24"/>
      <c r="E36" s="10"/>
      <c r="F36" s="6"/>
      <c r="G36" s="6"/>
      <c r="H36" s="18"/>
      <c r="I36" s="52"/>
      <c r="J36" s="64"/>
      <c r="K36" s="4"/>
      <c r="L36" s="60"/>
    </row>
    <row r="37" spans="1:12" x14ac:dyDescent="0.25">
      <c r="A37" s="4">
        <v>0</v>
      </c>
      <c r="B37" s="4" t="s">
        <v>1670</v>
      </c>
      <c r="C37" s="24" t="s">
        <v>1669</v>
      </c>
      <c r="D37" s="24" t="s">
        <v>1669</v>
      </c>
      <c r="E37" s="10" t="str">
        <f t="shared" ref="E37:E53" si="6">IF(A37=3,"Fully completed",IF(A37=2,"Substantially completed with missing information",IF(A37=1,"Presented but with numerous information gaps",IF(A37=0,"Not presented","error"))))</f>
        <v>Not presented</v>
      </c>
      <c r="F37" s="6"/>
      <c r="G37" s="6"/>
      <c r="H37" s="18"/>
      <c r="I37" s="52">
        <v>0.01</v>
      </c>
      <c r="J37" s="64">
        <f t="shared" ref="J37:J53" si="7">ROUND(((A37*I37)*100)/Scale,2)</f>
        <v>0</v>
      </c>
      <c r="K37" s="4">
        <v>3</v>
      </c>
      <c r="L37" s="60">
        <f t="shared" ref="L37:L53" si="8">ROUND((K37*I37)*100,0)</f>
        <v>3</v>
      </c>
    </row>
    <row r="38" spans="1:12" x14ac:dyDescent="0.25">
      <c r="A38" s="4">
        <v>3</v>
      </c>
      <c r="B38" s="4" t="s">
        <v>1669</v>
      </c>
      <c r="C38" s="4" t="s">
        <v>1669</v>
      </c>
      <c r="D38" s="4" t="s">
        <v>1669</v>
      </c>
      <c r="E38" s="10" t="str">
        <f t="shared" si="6"/>
        <v>Fully completed</v>
      </c>
      <c r="F38" s="6"/>
      <c r="G38" s="6"/>
      <c r="H38" s="18"/>
      <c r="I38" s="52">
        <v>0.01</v>
      </c>
      <c r="J38" s="64">
        <f t="shared" si="7"/>
        <v>0.98</v>
      </c>
      <c r="K38" s="4">
        <v>3</v>
      </c>
      <c r="L38" s="60">
        <f t="shared" si="8"/>
        <v>3</v>
      </c>
    </row>
    <row r="39" spans="1:12" x14ac:dyDescent="0.25">
      <c r="A39" s="4">
        <v>2</v>
      </c>
      <c r="B39" s="4" t="s">
        <v>1669</v>
      </c>
      <c r="C39" s="4" t="s">
        <v>1669</v>
      </c>
      <c r="D39" s="4" t="s">
        <v>1669</v>
      </c>
      <c r="E39" s="10" t="str">
        <f t="shared" si="6"/>
        <v>Substantially completed with missing information</v>
      </c>
      <c r="F39" s="6"/>
      <c r="G39" s="6"/>
      <c r="H39" s="18"/>
      <c r="I39" s="52">
        <v>0.01</v>
      </c>
      <c r="J39" s="64">
        <f t="shared" si="7"/>
        <v>0.66</v>
      </c>
      <c r="K39" s="4">
        <v>3</v>
      </c>
      <c r="L39" s="60">
        <f t="shared" si="8"/>
        <v>3</v>
      </c>
    </row>
    <row r="40" spans="1:12" x14ac:dyDescent="0.25">
      <c r="A40" s="4">
        <v>1</v>
      </c>
      <c r="B40" s="4" t="s">
        <v>1670</v>
      </c>
      <c r="C40" s="24" t="s">
        <v>1669</v>
      </c>
      <c r="D40" s="24" t="s">
        <v>1669</v>
      </c>
      <c r="E40" s="10" t="str">
        <f t="shared" si="6"/>
        <v>Presented but with numerous information gaps</v>
      </c>
      <c r="F40" s="6"/>
      <c r="G40" s="6"/>
      <c r="H40" s="18"/>
      <c r="I40" s="52">
        <v>0.01</v>
      </c>
      <c r="J40" s="64">
        <f t="shared" si="7"/>
        <v>0.33</v>
      </c>
      <c r="K40" s="4">
        <v>3</v>
      </c>
      <c r="L40" s="60">
        <f t="shared" si="8"/>
        <v>3</v>
      </c>
    </row>
    <row r="41" spans="1:12" x14ac:dyDescent="0.25">
      <c r="A41" s="4">
        <v>3</v>
      </c>
      <c r="B41" s="4" t="s">
        <v>1669</v>
      </c>
      <c r="C41" s="4" t="s">
        <v>1669</v>
      </c>
      <c r="D41" s="4" t="s">
        <v>1669</v>
      </c>
      <c r="E41" s="10" t="str">
        <f t="shared" si="6"/>
        <v>Fully completed</v>
      </c>
      <c r="F41" s="6"/>
      <c r="G41" s="6"/>
      <c r="H41" s="18"/>
      <c r="I41" s="52">
        <v>0.01</v>
      </c>
      <c r="J41" s="64">
        <f t="shared" si="7"/>
        <v>0.98</v>
      </c>
      <c r="K41" s="4">
        <v>3</v>
      </c>
      <c r="L41" s="60">
        <f t="shared" si="8"/>
        <v>3</v>
      </c>
    </row>
    <row r="42" spans="1:12" x14ac:dyDescent="0.25">
      <c r="A42" s="4">
        <v>3</v>
      </c>
      <c r="B42" s="4" t="s">
        <v>1669</v>
      </c>
      <c r="C42" s="4" t="s">
        <v>1669</v>
      </c>
      <c r="D42" s="4" t="s">
        <v>1669</v>
      </c>
      <c r="E42" s="10" t="str">
        <f t="shared" si="6"/>
        <v>Fully completed</v>
      </c>
      <c r="F42" s="6"/>
      <c r="G42" s="6"/>
      <c r="H42" s="18"/>
      <c r="I42" s="52">
        <v>0.01</v>
      </c>
      <c r="J42" s="64">
        <f t="shared" si="7"/>
        <v>0.98</v>
      </c>
      <c r="K42" s="4">
        <v>3</v>
      </c>
      <c r="L42" s="60">
        <f t="shared" si="8"/>
        <v>3</v>
      </c>
    </row>
    <row r="43" spans="1:12" x14ac:dyDescent="0.25">
      <c r="A43" s="4">
        <v>3</v>
      </c>
      <c r="B43" s="4" t="s">
        <v>1669</v>
      </c>
      <c r="C43" s="4" t="s">
        <v>1669</v>
      </c>
      <c r="D43" s="4" t="s">
        <v>1669</v>
      </c>
      <c r="E43" s="10" t="str">
        <f t="shared" si="6"/>
        <v>Fully completed</v>
      </c>
      <c r="F43" s="6"/>
      <c r="G43" s="6"/>
      <c r="H43" s="18"/>
      <c r="I43" s="52">
        <v>0.01</v>
      </c>
      <c r="J43" s="64">
        <f t="shared" si="7"/>
        <v>0.98</v>
      </c>
      <c r="K43" s="4">
        <v>3</v>
      </c>
      <c r="L43" s="60">
        <f t="shared" si="8"/>
        <v>3</v>
      </c>
    </row>
    <row r="44" spans="1:12" x14ac:dyDescent="0.25">
      <c r="A44" s="4">
        <v>3</v>
      </c>
      <c r="B44" s="4" t="s">
        <v>1669</v>
      </c>
      <c r="C44" s="4" t="s">
        <v>1669</v>
      </c>
      <c r="D44" s="4" t="s">
        <v>1669</v>
      </c>
      <c r="E44" s="10" t="str">
        <f t="shared" si="6"/>
        <v>Fully completed</v>
      </c>
      <c r="F44" s="6"/>
      <c r="G44" s="6"/>
      <c r="H44" s="18"/>
      <c r="I44" s="52">
        <v>0.01</v>
      </c>
      <c r="J44" s="64">
        <f t="shared" si="7"/>
        <v>0.98</v>
      </c>
      <c r="K44" s="4">
        <v>3</v>
      </c>
      <c r="L44" s="60">
        <f t="shared" si="8"/>
        <v>3</v>
      </c>
    </row>
    <row r="45" spans="1:12" x14ac:dyDescent="0.25">
      <c r="A45" s="4">
        <v>1</v>
      </c>
      <c r="B45" s="4" t="s">
        <v>1669</v>
      </c>
      <c r="C45" s="4" t="s">
        <v>1669</v>
      </c>
      <c r="D45" s="4" t="s">
        <v>1669</v>
      </c>
      <c r="E45" s="10" t="str">
        <f t="shared" si="6"/>
        <v>Presented but with numerous information gaps</v>
      </c>
      <c r="F45" s="6"/>
      <c r="G45" s="6"/>
      <c r="H45" s="18"/>
      <c r="I45" s="52">
        <v>0.01</v>
      </c>
      <c r="J45" s="64">
        <f t="shared" si="7"/>
        <v>0.33</v>
      </c>
      <c r="K45" s="4">
        <v>3</v>
      </c>
      <c r="L45" s="60">
        <f t="shared" si="8"/>
        <v>3</v>
      </c>
    </row>
    <row r="46" spans="1:12" x14ac:dyDescent="0.25">
      <c r="A46" s="4">
        <v>0</v>
      </c>
      <c r="B46" s="4" t="s">
        <v>1669</v>
      </c>
      <c r="C46" s="4" t="s">
        <v>1669</v>
      </c>
      <c r="D46" s="4" t="s">
        <v>1669</v>
      </c>
      <c r="E46" s="10" t="str">
        <f t="shared" si="6"/>
        <v>Not presented</v>
      </c>
      <c r="F46" s="6"/>
      <c r="G46" s="6"/>
      <c r="H46" s="18"/>
      <c r="I46" s="52">
        <v>0.01</v>
      </c>
      <c r="J46" s="64">
        <f t="shared" si="7"/>
        <v>0</v>
      </c>
      <c r="K46" s="4">
        <v>3</v>
      </c>
      <c r="L46" s="60">
        <f t="shared" si="8"/>
        <v>3</v>
      </c>
    </row>
    <row r="47" spans="1:12" x14ac:dyDescent="0.25">
      <c r="A47" s="4">
        <v>0</v>
      </c>
      <c r="B47" s="4" t="s">
        <v>1670</v>
      </c>
      <c r="C47" s="24" t="s">
        <v>1669</v>
      </c>
      <c r="D47" s="24" t="s">
        <v>1669</v>
      </c>
      <c r="E47" s="10" t="str">
        <f t="shared" si="6"/>
        <v>Not presented</v>
      </c>
      <c r="F47" s="6"/>
      <c r="G47" s="6"/>
      <c r="H47" s="18"/>
      <c r="I47" s="52">
        <v>0.01</v>
      </c>
      <c r="J47" s="64">
        <f t="shared" si="7"/>
        <v>0</v>
      </c>
      <c r="K47" s="4">
        <v>3</v>
      </c>
      <c r="L47" s="60">
        <f t="shared" si="8"/>
        <v>3</v>
      </c>
    </row>
    <row r="48" spans="1:12" x14ac:dyDescent="0.25">
      <c r="A48" s="4">
        <v>0</v>
      </c>
      <c r="B48" s="4" t="s">
        <v>1670</v>
      </c>
      <c r="C48" s="24" t="s">
        <v>1669</v>
      </c>
      <c r="D48" s="24" t="s">
        <v>1669</v>
      </c>
      <c r="E48" s="10" t="str">
        <f t="shared" si="6"/>
        <v>Not presented</v>
      </c>
      <c r="F48" s="6"/>
      <c r="G48" s="6"/>
      <c r="H48" s="18"/>
      <c r="I48" s="52">
        <v>0.01</v>
      </c>
      <c r="J48" s="64">
        <f t="shared" si="7"/>
        <v>0</v>
      </c>
      <c r="K48" s="4">
        <v>3</v>
      </c>
      <c r="L48" s="60">
        <f t="shared" si="8"/>
        <v>3</v>
      </c>
    </row>
    <row r="49" spans="1:12" x14ac:dyDescent="0.25">
      <c r="A49" s="4">
        <v>0</v>
      </c>
      <c r="B49" s="4" t="s">
        <v>1670</v>
      </c>
      <c r="C49" s="24" t="s">
        <v>1669</v>
      </c>
      <c r="D49" s="24" t="s">
        <v>1669</v>
      </c>
      <c r="E49" s="10" t="str">
        <f t="shared" si="6"/>
        <v>Not presented</v>
      </c>
      <c r="F49" s="6"/>
      <c r="G49" s="6"/>
      <c r="H49" s="18"/>
      <c r="I49" s="52">
        <v>0.02</v>
      </c>
      <c r="J49" s="64">
        <f t="shared" si="7"/>
        <v>0</v>
      </c>
      <c r="K49" s="4">
        <v>3</v>
      </c>
      <c r="L49" s="60">
        <f t="shared" si="8"/>
        <v>6</v>
      </c>
    </row>
    <row r="50" spans="1:12" x14ac:dyDescent="0.25">
      <c r="A50" s="4">
        <v>2</v>
      </c>
      <c r="B50" s="4" t="s">
        <v>1670</v>
      </c>
      <c r="C50" s="24" t="s">
        <v>1669</v>
      </c>
      <c r="D50" s="24" t="s">
        <v>1669</v>
      </c>
      <c r="E50" s="10" t="str">
        <f t="shared" si="6"/>
        <v>Substantially completed with missing information</v>
      </c>
      <c r="F50" s="6"/>
      <c r="G50" s="6"/>
      <c r="H50" s="18"/>
      <c r="I50" s="52">
        <v>0.01</v>
      </c>
      <c r="J50" s="64">
        <f t="shared" si="7"/>
        <v>0.66</v>
      </c>
      <c r="K50" s="4">
        <v>3</v>
      </c>
      <c r="L50" s="60">
        <f t="shared" si="8"/>
        <v>3</v>
      </c>
    </row>
    <row r="51" spans="1:12" x14ac:dyDescent="0.25">
      <c r="A51" s="4">
        <v>1</v>
      </c>
      <c r="B51" s="4" t="s">
        <v>1670</v>
      </c>
      <c r="C51" s="24" t="s">
        <v>1669</v>
      </c>
      <c r="D51" s="24" t="s">
        <v>1669</v>
      </c>
      <c r="E51" s="10" t="str">
        <f t="shared" si="6"/>
        <v>Presented but with numerous information gaps</v>
      </c>
      <c r="F51" s="6"/>
      <c r="G51" s="6"/>
      <c r="H51" s="18"/>
      <c r="I51" s="52">
        <v>0.02</v>
      </c>
      <c r="J51" s="64">
        <f t="shared" si="7"/>
        <v>0.66</v>
      </c>
      <c r="K51" s="4">
        <v>3</v>
      </c>
      <c r="L51" s="60">
        <f t="shared" si="8"/>
        <v>6</v>
      </c>
    </row>
    <row r="52" spans="1:12" x14ac:dyDescent="0.25">
      <c r="A52" s="4">
        <v>0</v>
      </c>
      <c r="B52" s="4" t="s">
        <v>1669</v>
      </c>
      <c r="C52" s="4" t="s">
        <v>1669</v>
      </c>
      <c r="D52" s="4" t="s">
        <v>1669</v>
      </c>
      <c r="E52" s="10" t="str">
        <f t="shared" si="6"/>
        <v>Not presented</v>
      </c>
      <c r="F52" s="6"/>
      <c r="G52" s="6"/>
      <c r="H52" s="18"/>
      <c r="I52" s="52">
        <v>0.01</v>
      </c>
      <c r="J52" s="64">
        <f t="shared" si="7"/>
        <v>0</v>
      </c>
      <c r="K52" s="4">
        <v>3</v>
      </c>
      <c r="L52" s="60">
        <f t="shared" si="8"/>
        <v>3</v>
      </c>
    </row>
    <row r="53" spans="1:12" x14ac:dyDescent="0.25">
      <c r="A53" s="22">
        <v>0</v>
      </c>
      <c r="B53" s="22" t="s">
        <v>1670</v>
      </c>
      <c r="C53" s="25" t="s">
        <v>1669</v>
      </c>
      <c r="D53" s="25" t="s">
        <v>1669</v>
      </c>
      <c r="E53" s="11" t="str">
        <f t="shared" si="6"/>
        <v>Not presented</v>
      </c>
      <c r="F53" s="19"/>
      <c r="G53" s="19"/>
      <c r="H53" s="20"/>
      <c r="I53" s="53">
        <v>0.02</v>
      </c>
      <c r="J53" s="65">
        <f t="shared" si="7"/>
        <v>0</v>
      </c>
      <c r="K53" s="4">
        <v>3</v>
      </c>
      <c r="L53" s="60">
        <f t="shared" si="8"/>
        <v>6</v>
      </c>
    </row>
    <row r="54" spans="1:12" x14ac:dyDescent="0.25">
      <c r="A54" s="9"/>
      <c r="B54" s="9"/>
      <c r="C54" s="9"/>
      <c r="D54" s="9"/>
      <c r="E54" s="2"/>
      <c r="F54" s="2"/>
      <c r="G54" s="2"/>
      <c r="H54" s="51" t="s">
        <v>1671</v>
      </c>
      <c r="I54" s="7">
        <f>SUM(I21:I53)</f>
        <v>0.41000000000000014</v>
      </c>
      <c r="J54" s="62">
        <f>SUM(J21:J53)</f>
        <v>21.300000000000004</v>
      </c>
      <c r="K54" s="12"/>
      <c r="L54" s="60"/>
    </row>
    <row r="55" spans="1:12" x14ac:dyDescent="0.25">
      <c r="A55" s="9"/>
      <c r="B55" s="9"/>
      <c r="C55" s="9"/>
      <c r="D55" s="9"/>
      <c r="E55" s="2"/>
      <c r="F55" s="2"/>
      <c r="G55" s="2"/>
      <c r="H55" s="51"/>
      <c r="I55" s="136"/>
      <c r="J55" s="137"/>
      <c r="K55" s="12"/>
      <c r="L55" s="60"/>
    </row>
    <row r="56" spans="1:12" x14ac:dyDescent="0.25">
      <c r="A56" s="21">
        <v>3</v>
      </c>
      <c r="B56" s="21" t="s">
        <v>1669</v>
      </c>
      <c r="C56" s="21" t="s">
        <v>1669</v>
      </c>
      <c r="D56" s="21" t="s">
        <v>1669</v>
      </c>
      <c r="E56" s="54" t="str">
        <f t="shared" ref="E56:E75" si="9">IF(A56=3,"Fully completed",IF(A56=2,"Substantially completed with missing information",IF(A56=1,"Presented but with numerous information gaps",IF(A56=0,"Not presented","error"))))</f>
        <v>Fully completed</v>
      </c>
      <c r="F56" s="16"/>
      <c r="G56" s="16"/>
      <c r="H56" s="17"/>
      <c r="I56" s="55">
        <v>0.01</v>
      </c>
      <c r="J56" s="21">
        <f t="shared" ref="J56:J75" si="10">ROUND(((A56*I56)*100)/Scale,2)</f>
        <v>0.98</v>
      </c>
      <c r="K56" s="4">
        <v>3</v>
      </c>
      <c r="L56" s="60">
        <f t="shared" ref="L56:L75" si="11">ROUND((K56*I56)*100,0)</f>
        <v>3</v>
      </c>
    </row>
    <row r="57" spans="1:12" x14ac:dyDescent="0.25">
      <c r="A57" s="4">
        <v>3</v>
      </c>
      <c r="B57" s="4" t="s">
        <v>1669</v>
      </c>
      <c r="C57" s="4" t="s">
        <v>1669</v>
      </c>
      <c r="D57" s="4" t="s">
        <v>1669</v>
      </c>
      <c r="E57" s="10" t="str">
        <f t="shared" si="9"/>
        <v>Fully completed</v>
      </c>
      <c r="F57" s="6"/>
      <c r="G57" s="6"/>
      <c r="H57" s="18"/>
      <c r="I57" s="52">
        <v>0.01</v>
      </c>
      <c r="J57" s="4">
        <f t="shared" si="10"/>
        <v>0.98</v>
      </c>
      <c r="K57" s="4">
        <v>3</v>
      </c>
      <c r="L57" s="60">
        <f t="shared" si="11"/>
        <v>3</v>
      </c>
    </row>
    <row r="58" spans="1:12" x14ac:dyDescent="0.25">
      <c r="A58" s="4">
        <v>3</v>
      </c>
      <c r="B58" s="4" t="s">
        <v>1669</v>
      </c>
      <c r="C58" s="4" t="s">
        <v>1669</v>
      </c>
      <c r="D58" s="4" t="s">
        <v>1669</v>
      </c>
      <c r="E58" s="10" t="str">
        <f t="shared" si="9"/>
        <v>Fully completed</v>
      </c>
      <c r="F58" s="6"/>
      <c r="G58" s="6"/>
      <c r="H58" s="18"/>
      <c r="I58" s="52">
        <v>0.01</v>
      </c>
      <c r="J58" s="4">
        <f t="shared" si="10"/>
        <v>0.98</v>
      </c>
      <c r="K58" s="4">
        <v>3</v>
      </c>
      <c r="L58" s="60">
        <f t="shared" si="11"/>
        <v>3</v>
      </c>
    </row>
    <row r="59" spans="1:12" x14ac:dyDescent="0.25">
      <c r="A59" s="4">
        <v>3</v>
      </c>
      <c r="B59" s="4" t="s">
        <v>1670</v>
      </c>
      <c r="C59" s="4" t="s">
        <v>1670</v>
      </c>
      <c r="D59" s="4" t="s">
        <v>1670</v>
      </c>
      <c r="E59" s="10" t="str">
        <f t="shared" si="9"/>
        <v>Fully completed</v>
      </c>
      <c r="F59" s="6"/>
      <c r="G59" s="6"/>
      <c r="H59" s="18"/>
      <c r="I59" s="56">
        <v>5.0000000000000001E-3</v>
      </c>
      <c r="J59" s="4">
        <f t="shared" si="10"/>
        <v>0.49</v>
      </c>
      <c r="K59" s="4">
        <v>3</v>
      </c>
      <c r="L59" s="60">
        <f t="shared" si="11"/>
        <v>2</v>
      </c>
    </row>
    <row r="60" spans="1:12" x14ac:dyDescent="0.25">
      <c r="A60" s="4">
        <v>3</v>
      </c>
      <c r="B60" s="4" t="s">
        <v>1669</v>
      </c>
      <c r="C60" s="4" t="s">
        <v>1669</v>
      </c>
      <c r="D60" s="4" t="s">
        <v>1669</v>
      </c>
      <c r="E60" s="10" t="str">
        <f t="shared" si="9"/>
        <v>Fully completed</v>
      </c>
      <c r="F60" s="6"/>
      <c r="G60" s="6"/>
      <c r="H60" s="18"/>
      <c r="I60" s="52">
        <v>0.01</v>
      </c>
      <c r="J60" s="4">
        <f t="shared" si="10"/>
        <v>0.98</v>
      </c>
      <c r="K60" s="4">
        <v>3</v>
      </c>
      <c r="L60" s="60">
        <f t="shared" si="11"/>
        <v>3</v>
      </c>
    </row>
    <row r="61" spans="1:12" x14ac:dyDescent="0.25">
      <c r="A61" s="4">
        <v>3</v>
      </c>
      <c r="B61" s="4" t="s">
        <v>1670</v>
      </c>
      <c r="C61" s="4" t="s">
        <v>1670</v>
      </c>
      <c r="D61" s="4" t="s">
        <v>1670</v>
      </c>
      <c r="E61" s="10" t="str">
        <f t="shared" si="9"/>
        <v>Fully completed</v>
      </c>
      <c r="F61" s="6"/>
      <c r="G61" s="6"/>
      <c r="H61" s="18"/>
      <c r="I61" s="56">
        <v>5.0000000000000001E-3</v>
      </c>
      <c r="J61" s="4">
        <f t="shared" si="10"/>
        <v>0.49</v>
      </c>
      <c r="K61" s="4">
        <v>3</v>
      </c>
      <c r="L61" s="60">
        <f t="shared" si="11"/>
        <v>2</v>
      </c>
    </row>
    <row r="62" spans="1:12" x14ac:dyDescent="0.25">
      <c r="A62" s="4">
        <v>3</v>
      </c>
      <c r="B62" s="4" t="s">
        <v>1669</v>
      </c>
      <c r="C62" s="4" t="s">
        <v>1669</v>
      </c>
      <c r="D62" s="4" t="s">
        <v>1669</v>
      </c>
      <c r="E62" s="10" t="str">
        <f t="shared" si="9"/>
        <v>Fully completed</v>
      </c>
      <c r="F62" s="6"/>
      <c r="G62" s="6"/>
      <c r="H62" s="18"/>
      <c r="I62" s="52">
        <v>0.01</v>
      </c>
      <c r="J62" s="4">
        <f t="shared" si="10"/>
        <v>0.98</v>
      </c>
      <c r="K62" s="4">
        <v>3</v>
      </c>
      <c r="L62" s="60">
        <f t="shared" si="11"/>
        <v>3</v>
      </c>
    </row>
    <row r="63" spans="1:12" x14ac:dyDescent="0.25">
      <c r="A63" s="4">
        <v>3</v>
      </c>
      <c r="B63" s="4" t="s">
        <v>1670</v>
      </c>
      <c r="C63" s="4" t="s">
        <v>1670</v>
      </c>
      <c r="D63" s="4" t="s">
        <v>1670</v>
      </c>
      <c r="E63" s="10" t="str">
        <f t="shared" si="9"/>
        <v>Fully completed</v>
      </c>
      <c r="F63" s="6"/>
      <c r="G63" s="6"/>
      <c r="H63" s="18"/>
      <c r="I63" s="56">
        <v>5.0000000000000001E-3</v>
      </c>
      <c r="J63" s="4">
        <f t="shared" si="10"/>
        <v>0.49</v>
      </c>
      <c r="K63" s="4">
        <v>3</v>
      </c>
      <c r="L63" s="60">
        <f t="shared" si="11"/>
        <v>2</v>
      </c>
    </row>
    <row r="64" spans="1:12" x14ac:dyDescent="0.25">
      <c r="A64" s="4">
        <v>3</v>
      </c>
      <c r="B64" s="4" t="s">
        <v>1670</v>
      </c>
      <c r="C64" s="4" t="s">
        <v>1670</v>
      </c>
      <c r="D64" s="4" t="s">
        <v>1670</v>
      </c>
      <c r="E64" s="10" t="str">
        <f t="shared" si="9"/>
        <v>Fully completed</v>
      </c>
      <c r="F64" s="6"/>
      <c r="G64" s="6"/>
      <c r="H64" s="18"/>
      <c r="I64" s="56">
        <v>5.0000000000000001E-3</v>
      </c>
      <c r="J64" s="4">
        <f t="shared" si="10"/>
        <v>0.49</v>
      </c>
      <c r="K64" s="4">
        <v>3</v>
      </c>
      <c r="L64" s="60">
        <f t="shared" si="11"/>
        <v>2</v>
      </c>
    </row>
    <row r="65" spans="1:12" x14ac:dyDescent="0.25">
      <c r="A65" s="4">
        <v>3</v>
      </c>
      <c r="B65" s="4" t="s">
        <v>1669</v>
      </c>
      <c r="C65" s="4" t="s">
        <v>1669</v>
      </c>
      <c r="D65" s="4" t="s">
        <v>1669</v>
      </c>
      <c r="E65" s="10" t="str">
        <f t="shared" si="9"/>
        <v>Fully completed</v>
      </c>
      <c r="F65" s="6"/>
      <c r="G65" s="6"/>
      <c r="H65" s="18"/>
      <c r="I65" s="52">
        <v>0.01</v>
      </c>
      <c r="J65" s="4">
        <f t="shared" si="10"/>
        <v>0.98</v>
      </c>
      <c r="K65" s="4">
        <v>3</v>
      </c>
      <c r="L65" s="60">
        <f t="shared" si="11"/>
        <v>3</v>
      </c>
    </row>
    <row r="66" spans="1:12" x14ac:dyDescent="0.25">
      <c r="A66" s="4">
        <v>3</v>
      </c>
      <c r="B66" s="4" t="s">
        <v>1670</v>
      </c>
      <c r="C66" s="4" t="s">
        <v>1670</v>
      </c>
      <c r="D66" s="4" t="s">
        <v>1670</v>
      </c>
      <c r="E66" s="10" t="str">
        <f t="shared" si="9"/>
        <v>Fully completed</v>
      </c>
      <c r="F66" s="6"/>
      <c r="G66" s="6"/>
      <c r="H66" s="18"/>
      <c r="I66" s="56">
        <v>5.0000000000000001E-3</v>
      </c>
      <c r="J66" s="4">
        <f t="shared" si="10"/>
        <v>0.49</v>
      </c>
      <c r="K66" s="4">
        <v>3</v>
      </c>
      <c r="L66" s="60">
        <f t="shared" si="11"/>
        <v>2</v>
      </c>
    </row>
    <row r="67" spans="1:12" x14ac:dyDescent="0.25">
      <c r="A67" s="4">
        <v>3</v>
      </c>
      <c r="B67" s="4" t="s">
        <v>1670</v>
      </c>
      <c r="C67" s="4" t="s">
        <v>1670</v>
      </c>
      <c r="D67" s="4" t="s">
        <v>1670</v>
      </c>
      <c r="E67" s="10" t="str">
        <f t="shared" si="9"/>
        <v>Fully completed</v>
      </c>
      <c r="F67" s="6"/>
      <c r="G67" s="6"/>
      <c r="H67" s="18"/>
      <c r="I67" s="56">
        <v>5.0000000000000001E-3</v>
      </c>
      <c r="J67" s="4">
        <f t="shared" si="10"/>
        <v>0.49</v>
      </c>
      <c r="K67" s="4">
        <v>3</v>
      </c>
      <c r="L67" s="60">
        <f t="shared" si="11"/>
        <v>2</v>
      </c>
    </row>
    <row r="68" spans="1:12" x14ac:dyDescent="0.25">
      <c r="A68" s="4">
        <v>3</v>
      </c>
      <c r="B68" s="4" t="s">
        <v>1670</v>
      </c>
      <c r="C68" s="4" t="s">
        <v>1670</v>
      </c>
      <c r="D68" s="4" t="s">
        <v>1670</v>
      </c>
      <c r="E68" s="10" t="str">
        <f t="shared" si="9"/>
        <v>Fully completed</v>
      </c>
      <c r="F68" s="6"/>
      <c r="G68" s="6"/>
      <c r="H68" s="18"/>
      <c r="I68" s="56">
        <v>5.0000000000000001E-3</v>
      </c>
      <c r="J68" s="4">
        <f t="shared" si="10"/>
        <v>0.49</v>
      </c>
      <c r="K68" s="4">
        <v>3</v>
      </c>
      <c r="L68" s="60">
        <f t="shared" si="11"/>
        <v>2</v>
      </c>
    </row>
    <row r="69" spans="1:12" x14ac:dyDescent="0.25">
      <c r="A69" s="4">
        <v>3</v>
      </c>
      <c r="B69" s="4" t="s">
        <v>1670</v>
      </c>
      <c r="C69" s="4" t="s">
        <v>1670</v>
      </c>
      <c r="D69" s="4" t="s">
        <v>1670</v>
      </c>
      <c r="E69" s="10" t="str">
        <f t="shared" si="9"/>
        <v>Fully completed</v>
      </c>
      <c r="F69" s="6"/>
      <c r="G69" s="6"/>
      <c r="H69" s="18"/>
      <c r="I69" s="56">
        <v>5.0000000000000001E-3</v>
      </c>
      <c r="J69" s="4">
        <f t="shared" si="10"/>
        <v>0.49</v>
      </c>
      <c r="K69" s="4">
        <v>3</v>
      </c>
      <c r="L69" s="60">
        <f t="shared" si="11"/>
        <v>2</v>
      </c>
    </row>
    <row r="70" spans="1:12" x14ac:dyDescent="0.25">
      <c r="A70" s="4">
        <v>3</v>
      </c>
      <c r="B70" s="4" t="s">
        <v>1670</v>
      </c>
      <c r="C70" s="4" t="s">
        <v>1670</v>
      </c>
      <c r="D70" s="4" t="s">
        <v>1670</v>
      </c>
      <c r="E70" s="10" t="str">
        <f t="shared" si="9"/>
        <v>Fully completed</v>
      </c>
      <c r="F70" s="6"/>
      <c r="G70" s="6"/>
      <c r="H70" s="18"/>
      <c r="I70" s="56">
        <v>5.0000000000000001E-3</v>
      </c>
      <c r="J70" s="4">
        <f t="shared" si="10"/>
        <v>0.49</v>
      </c>
      <c r="K70" s="4">
        <v>3</v>
      </c>
      <c r="L70" s="60">
        <f t="shared" si="11"/>
        <v>2</v>
      </c>
    </row>
    <row r="71" spans="1:12" x14ac:dyDescent="0.25">
      <c r="A71" s="4">
        <v>3</v>
      </c>
      <c r="B71" s="4" t="s">
        <v>1669</v>
      </c>
      <c r="C71" s="4" t="s">
        <v>1669</v>
      </c>
      <c r="D71" s="4" t="s">
        <v>1669</v>
      </c>
      <c r="E71" s="10" t="str">
        <f t="shared" si="9"/>
        <v>Fully completed</v>
      </c>
      <c r="F71" s="6"/>
      <c r="G71" s="6"/>
      <c r="H71" s="18"/>
      <c r="I71" s="52">
        <v>0.01</v>
      </c>
      <c r="J71" s="4">
        <f t="shared" si="10"/>
        <v>0.98</v>
      </c>
      <c r="K71" s="4">
        <v>3</v>
      </c>
      <c r="L71" s="60">
        <f t="shared" si="11"/>
        <v>3</v>
      </c>
    </row>
    <row r="72" spans="1:12" x14ac:dyDescent="0.25">
      <c r="A72" s="4">
        <v>1</v>
      </c>
      <c r="B72" s="4" t="s">
        <v>1669</v>
      </c>
      <c r="C72" s="4" t="s">
        <v>1669</v>
      </c>
      <c r="D72" s="4" t="s">
        <v>1669</v>
      </c>
      <c r="E72" s="10" t="str">
        <f t="shared" si="9"/>
        <v>Presented but with numerous information gaps</v>
      </c>
      <c r="F72" s="6"/>
      <c r="G72" s="6"/>
      <c r="H72" s="18"/>
      <c r="I72" s="58">
        <v>7.4999999999999997E-3</v>
      </c>
      <c r="J72" s="4">
        <f t="shared" si="10"/>
        <v>0.25</v>
      </c>
      <c r="K72" s="4">
        <v>3</v>
      </c>
      <c r="L72" s="60">
        <f t="shared" si="11"/>
        <v>2</v>
      </c>
    </row>
    <row r="73" spans="1:12" x14ac:dyDescent="0.25">
      <c r="A73" s="4">
        <v>2</v>
      </c>
      <c r="B73" s="4" t="s">
        <v>1669</v>
      </c>
      <c r="C73" s="4" t="s">
        <v>1669</v>
      </c>
      <c r="D73" s="4" t="s">
        <v>1669</v>
      </c>
      <c r="E73" s="10" t="str">
        <f t="shared" si="9"/>
        <v>Substantially completed with missing information</v>
      </c>
      <c r="F73" s="6"/>
      <c r="G73" s="6"/>
      <c r="H73" s="18"/>
      <c r="I73" s="58">
        <v>7.4999999999999997E-3</v>
      </c>
      <c r="J73" s="4">
        <f t="shared" si="10"/>
        <v>0.49</v>
      </c>
      <c r="K73" s="4">
        <v>3</v>
      </c>
      <c r="L73" s="60">
        <f t="shared" si="11"/>
        <v>2</v>
      </c>
    </row>
    <row r="74" spans="1:12" x14ac:dyDescent="0.25">
      <c r="A74" s="4">
        <v>3</v>
      </c>
      <c r="B74" s="4" t="s">
        <v>1670</v>
      </c>
      <c r="C74" s="4" t="s">
        <v>1670</v>
      </c>
      <c r="D74" s="4" t="s">
        <v>1670</v>
      </c>
      <c r="E74" s="10" t="str">
        <f t="shared" si="9"/>
        <v>Fully completed</v>
      </c>
      <c r="F74" s="6"/>
      <c r="G74" s="6"/>
      <c r="H74" s="18"/>
      <c r="I74" s="56">
        <v>5.0000000000000001E-3</v>
      </c>
      <c r="J74" s="4">
        <f t="shared" si="10"/>
        <v>0.49</v>
      </c>
      <c r="K74" s="4">
        <v>3</v>
      </c>
      <c r="L74" s="60">
        <f t="shared" si="11"/>
        <v>2</v>
      </c>
    </row>
    <row r="75" spans="1:12" x14ac:dyDescent="0.25">
      <c r="A75" s="22">
        <v>3</v>
      </c>
      <c r="B75" s="22" t="s">
        <v>1669</v>
      </c>
      <c r="C75" s="22" t="s">
        <v>1669</v>
      </c>
      <c r="D75" s="22" t="s">
        <v>1669</v>
      </c>
      <c r="E75" s="11" t="str">
        <f t="shared" si="9"/>
        <v>Fully completed</v>
      </c>
      <c r="F75" s="19"/>
      <c r="G75" s="19"/>
      <c r="H75" s="20"/>
      <c r="I75" s="57">
        <v>1.4999999999999999E-2</v>
      </c>
      <c r="J75" s="22">
        <f t="shared" si="10"/>
        <v>1.48</v>
      </c>
      <c r="K75" s="4">
        <v>3</v>
      </c>
      <c r="L75" s="60">
        <f t="shared" si="11"/>
        <v>5</v>
      </c>
    </row>
    <row r="76" spans="1:12" x14ac:dyDescent="0.25">
      <c r="A76" s="5"/>
      <c r="B76" s="5"/>
      <c r="C76" s="5"/>
      <c r="D76" s="5"/>
      <c r="E76" s="6"/>
      <c r="F76" s="6"/>
      <c r="G76" s="6"/>
      <c r="H76" s="51" t="s">
        <v>1521</v>
      </c>
      <c r="I76" s="67">
        <f>SUM(I56:I75)</f>
        <v>0.15000000000000002</v>
      </c>
      <c r="J76" s="62">
        <f>SUM(J56:J75)</f>
        <v>13.980000000000004</v>
      </c>
      <c r="K76" s="12"/>
      <c r="L76" s="63">
        <f>SUM(L10:L75)</f>
        <v>278</v>
      </c>
    </row>
    <row r="77" spans="1:12" x14ac:dyDescent="0.25">
      <c r="A77" s="9"/>
      <c r="B77" s="9"/>
      <c r="C77" s="9"/>
      <c r="D77" s="9"/>
      <c r="E77" s="2"/>
      <c r="F77" s="2"/>
      <c r="G77" s="2"/>
      <c r="H77" s="51" t="s">
        <v>1518</v>
      </c>
      <c r="I77" s="59">
        <f>I20+I54+I76</f>
        <v>0.91000000000000014</v>
      </c>
      <c r="J77" s="62">
        <f>J20+J54+J76</f>
        <v>66.080000000000013</v>
      </c>
      <c r="K77" s="38"/>
      <c r="L77" s="38">
        <v>3.05</v>
      </c>
    </row>
    <row r="78" spans="1:12" x14ac:dyDescent="0.25">
      <c r="A78" s="9"/>
      <c r="B78" s="9"/>
      <c r="C78" s="9"/>
      <c r="D78" s="9"/>
      <c r="E78" s="2"/>
      <c r="F78" s="2"/>
      <c r="G78" s="2"/>
      <c r="H78" s="51"/>
      <c r="I78" s="2"/>
      <c r="J78" s="2"/>
      <c r="K78" s="2"/>
      <c r="L78" s="2"/>
    </row>
    <row r="79" spans="1:12" x14ac:dyDescent="0.25">
      <c r="A79" s="9"/>
      <c r="B79" s="9"/>
      <c r="C79" s="9"/>
      <c r="D79" s="9"/>
      <c r="E79" s="2"/>
      <c r="F79" s="2"/>
      <c r="G79" s="2"/>
      <c r="H79" s="51" t="s">
        <v>1520</v>
      </c>
      <c r="I79" s="2"/>
      <c r="J79" s="2"/>
      <c r="K79" s="2"/>
      <c r="L79" s="2"/>
    </row>
  </sheetData>
  <sheetProtection selectLockedCells="1"/>
  <mergeCells count="3">
    <mergeCell ref="A8:J8"/>
    <mergeCell ref="E9:H9"/>
    <mergeCell ref="A2:J2"/>
  </mergeCells>
  <phoneticPr fontId="2" type="noConversion"/>
  <printOptions horizontalCentered="1"/>
  <pageMargins left="0.43307086614173229" right="0.15748031496062992" top="0.51181102362204722" bottom="0.55118110236220474" header="0.51181102362204722" footer="0.51181102362204722"/>
  <pageSetup paperSize="9" scale="78"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4"/>
    <pageSetUpPr fitToPage="1"/>
  </sheetPr>
  <dimension ref="A1:O68"/>
  <sheetViews>
    <sheetView showGridLines="0" zoomScaleNormal="100" workbookViewId="0">
      <pane xSplit="1" ySplit="3" topLeftCell="C4" activePane="bottomRight" state="frozen"/>
      <selection pane="topRight"/>
      <selection pane="bottomLeft"/>
      <selection pane="bottomRight" activeCell="K56" sqref="K56"/>
    </sheetView>
  </sheetViews>
  <sheetFormatPr defaultColWidth="9.1796875" defaultRowHeight="10.5" x14ac:dyDescent="0.25"/>
  <cols>
    <col min="1" max="1" width="30.7265625" style="149" customWidth="1"/>
    <col min="2" max="11" width="9" style="149" customWidth="1"/>
    <col min="12" max="14" width="7.7265625" style="149" customWidth="1"/>
    <col min="15" max="16384" width="9.1796875" style="149"/>
  </cols>
  <sheetData>
    <row r="1" spans="1:12" ht="13.5" customHeight="1" x14ac:dyDescent="0.3">
      <c r="A1" s="2679" t="str">
        <f>muni&amp;" - "&amp;Approve1</f>
        <v>KZN225 Msunduzi - Table A1 Consolidated Budget Summary</v>
      </c>
      <c r="B1" s="2680"/>
      <c r="C1" s="2680"/>
      <c r="D1" s="148"/>
      <c r="E1" s="148"/>
      <c r="F1" s="148"/>
      <c r="G1" s="148"/>
      <c r="H1" s="148"/>
      <c r="I1" s="148"/>
      <c r="J1" s="148"/>
      <c r="K1" s="148"/>
    </row>
    <row r="2" spans="1:12" ht="28.5" customHeight="1" x14ac:dyDescent="0.25">
      <c r="A2" s="1002" t="str">
        <f>desc</f>
        <v>Description</v>
      </c>
      <c r="B2" s="144" t="str">
        <f>head1b</f>
        <v>2009/10</v>
      </c>
      <c r="C2" s="150" t="str">
        <f>head1A</f>
        <v>2010/11</v>
      </c>
      <c r="D2" s="146" t="str">
        <f>Head1</f>
        <v>2011/12</v>
      </c>
      <c r="E2" s="2677" t="str">
        <f>Head2</f>
        <v>Current Year 2012/13</v>
      </c>
      <c r="F2" s="2678"/>
      <c r="G2" s="2678"/>
      <c r="H2" s="2678"/>
      <c r="I2" s="2674" t="str">
        <f>Head3</f>
        <v>2013/14 Medium Term Revenue &amp; Expenditure Framework</v>
      </c>
      <c r="J2" s="2675"/>
      <c r="K2" s="2676"/>
    </row>
    <row r="3" spans="1:12" ht="21" x14ac:dyDescent="0.25">
      <c r="A3" s="1160" t="s">
        <v>34</v>
      </c>
      <c r="B3" s="299" t="str">
        <f>Head5</f>
        <v>Audited Outcome</v>
      </c>
      <c r="C3" s="390" t="str">
        <f>Head5</f>
        <v>Audited Outcome</v>
      </c>
      <c r="D3" s="391" t="str">
        <f>Head5</f>
        <v>Audited Outcome</v>
      </c>
      <c r="E3" s="299" t="str">
        <f>Head6</f>
        <v>Original Budget</v>
      </c>
      <c r="F3" s="390" t="str">
        <f>Head7</f>
        <v>Adjusted Budget</v>
      </c>
      <c r="G3" s="391" t="str">
        <f>Head8</f>
        <v>Full Year Forecast</v>
      </c>
      <c r="H3" s="389" t="str">
        <f>Head5b</f>
        <v>Pre-audit outcome</v>
      </c>
      <c r="I3" s="299" t="str">
        <f>Head9</f>
        <v>Budget Year 2013/14</v>
      </c>
      <c r="J3" s="390" t="str">
        <f>Head10</f>
        <v>Budget Year +1 2014/15</v>
      </c>
      <c r="K3" s="391" t="str">
        <f>Head11</f>
        <v>Budget Year +2 2015/16</v>
      </c>
    </row>
    <row r="4" spans="1:12" ht="11.25" customHeight="1" x14ac:dyDescent="0.25">
      <c r="A4" s="919" t="s">
        <v>1366</v>
      </c>
      <c r="B4" s="158"/>
      <c r="C4" s="159"/>
      <c r="D4" s="160"/>
      <c r="E4" s="158"/>
      <c r="F4" s="159"/>
      <c r="G4" s="160"/>
      <c r="H4" s="161"/>
      <c r="I4" s="158"/>
      <c r="J4" s="159"/>
      <c r="K4" s="160"/>
    </row>
    <row r="5" spans="1:12" ht="11.25" customHeight="1" x14ac:dyDescent="0.25">
      <c r="A5" s="900" t="s">
        <v>540</v>
      </c>
      <c r="B5" s="1130">
        <f>'A4-FinPerf RE'!C5+'A4-FinPerf RE'!C6</f>
        <v>440315111</v>
      </c>
      <c r="C5" s="207">
        <f>'A4-FinPerf RE'!D5+'A4-FinPerf RE'!D6</f>
        <v>474615288</v>
      </c>
      <c r="D5" s="558">
        <f>'A4-FinPerf RE'!E5+'A4-FinPerf RE'!E6</f>
        <v>536554628</v>
      </c>
      <c r="E5" s="211">
        <f>'A4-FinPerf RE'!F5+'A4-FinPerf RE'!F6</f>
        <v>610213938.11573339</v>
      </c>
      <c r="F5" s="207">
        <f>'A4-FinPerf RE'!G5+'A4-FinPerf RE'!G6</f>
        <v>623902741</v>
      </c>
      <c r="G5" s="559">
        <f>'A4-FinPerf RE'!H5+'A4-FinPerf RE'!H6</f>
        <v>623902741</v>
      </c>
      <c r="H5" s="210">
        <f>'A4-FinPerf RE'!I5+'A4-FinPerf RE'!I6</f>
        <v>623902741</v>
      </c>
      <c r="I5" s="211">
        <f>'A4-FinPerf RE'!J5+'A4-FinPerf RE'!J6</f>
        <v>645466766</v>
      </c>
      <c r="J5" s="207">
        <f>'A4-FinPerf RE'!K5+'A4-FinPerf RE'!K6</f>
        <v>680406473</v>
      </c>
      <c r="K5" s="559">
        <f>'A4-FinPerf RE'!L5+'A4-FinPerf RE'!L6</f>
        <v>717634694</v>
      </c>
      <c r="L5" s="370"/>
    </row>
    <row r="6" spans="1:12" ht="11.25" customHeight="1" x14ac:dyDescent="0.25">
      <c r="A6" s="900" t="s">
        <v>1602</v>
      </c>
      <c r="B6" s="207">
        <f>SUM('A4-FinPerf RE'!C7:C11)</f>
        <v>1159300660</v>
      </c>
      <c r="C6" s="207">
        <f>SUM('A4-FinPerf RE'!D7:D11)</f>
        <v>1449716955</v>
      </c>
      <c r="D6" s="558">
        <f>SUM('A4-FinPerf RE'!E7:E11)</f>
        <v>1678603419</v>
      </c>
      <c r="E6" s="211">
        <f>SUM('A4-FinPerf RE'!F7:F11)</f>
        <v>1927022557</v>
      </c>
      <c r="F6" s="207">
        <f>SUM('A4-FinPerf RE'!G7:G11)</f>
        <v>1955470536</v>
      </c>
      <c r="G6" s="559">
        <f>SUM('A4-FinPerf RE'!H7:H11)</f>
        <v>1955470536</v>
      </c>
      <c r="H6" s="210">
        <f>SUM('A4-FinPerf RE'!I7:I11)</f>
        <v>1955470536</v>
      </c>
      <c r="I6" s="211">
        <f>SUM('A4-FinPerf RE'!J7:J11)</f>
        <v>2142071127</v>
      </c>
      <c r="J6" s="207">
        <f>SUM('A4-FinPerf RE'!K7:K11)</f>
        <v>2346839723</v>
      </c>
      <c r="K6" s="559">
        <f>SUM('A4-FinPerf RE'!L7:L11)</f>
        <v>2571566061</v>
      </c>
    </row>
    <row r="7" spans="1:12" ht="11.25" customHeight="1" x14ac:dyDescent="0.25">
      <c r="A7" s="900" t="s">
        <v>500</v>
      </c>
      <c r="B7" s="207">
        <f>'A4-FinPerf RE'!C13</f>
        <v>6868503</v>
      </c>
      <c r="C7" s="207">
        <f>'A4-FinPerf RE'!D13</f>
        <v>13795214</v>
      </c>
      <c r="D7" s="558">
        <f>'A4-FinPerf RE'!E13</f>
        <v>25906640</v>
      </c>
      <c r="E7" s="211">
        <f>'A4-FinPerf RE'!F13</f>
        <v>12100000</v>
      </c>
      <c r="F7" s="207">
        <f>'A4-FinPerf RE'!G13</f>
        <v>18355634</v>
      </c>
      <c r="G7" s="559">
        <f>'A4-FinPerf RE'!H13</f>
        <v>18355634</v>
      </c>
      <c r="H7" s="210">
        <f>'A4-FinPerf RE'!I13</f>
        <v>18356634</v>
      </c>
      <c r="I7" s="211">
        <f>'A4-FinPerf RE'!J13</f>
        <v>18941134</v>
      </c>
      <c r="J7" s="207">
        <f>'A4-FinPerf RE'!K13</f>
        <v>19366249</v>
      </c>
      <c r="K7" s="559">
        <f>'A4-FinPerf RE'!L13</f>
        <v>20431392.6112752</v>
      </c>
    </row>
    <row r="8" spans="1:12" ht="11.25" customHeight="1" x14ac:dyDescent="0.25">
      <c r="A8" s="900" t="s">
        <v>35</v>
      </c>
      <c r="B8" s="207">
        <f>'A4-FinPerf RE'!C19</f>
        <v>355033160</v>
      </c>
      <c r="C8" s="207">
        <f>'A4-FinPerf RE'!D19</f>
        <v>385496359</v>
      </c>
      <c r="D8" s="558">
        <f>'A4-FinPerf RE'!E19</f>
        <v>500668971</v>
      </c>
      <c r="E8" s="211">
        <f>'A4-FinPerf RE'!F19</f>
        <v>365204000</v>
      </c>
      <c r="F8" s="207">
        <f>'A4-FinPerf RE'!G19</f>
        <v>422369000</v>
      </c>
      <c r="G8" s="559">
        <f>'A4-FinPerf RE'!H19</f>
        <v>422369000</v>
      </c>
      <c r="H8" s="210">
        <f>'A4-FinPerf RE'!I19</f>
        <v>422368549</v>
      </c>
      <c r="I8" s="211">
        <f>'A4-FinPerf RE'!J19</f>
        <v>652058595</v>
      </c>
      <c r="J8" s="207">
        <f>'A4-FinPerf RE'!K19</f>
        <v>589871000</v>
      </c>
      <c r="K8" s="559">
        <f>'A4-FinPerf RE'!L19</f>
        <v>655040000</v>
      </c>
    </row>
    <row r="9" spans="1:12" ht="11.25" customHeight="1" x14ac:dyDescent="0.25">
      <c r="A9" s="900" t="s">
        <v>204</v>
      </c>
      <c r="B9" s="207">
        <f>'A4-FinPerf RE'!C12+'A4-FinPerf RE'!C14+'A4-FinPerf RE'!C15+'A4-FinPerf RE'!C16+'A4-FinPerf RE'!C17+'A4-FinPerf RE'!C18+'A4-FinPerf RE'!C20+'A4-FinPerf RE'!C21</f>
        <v>614318316</v>
      </c>
      <c r="C9" s="207">
        <f>'A4-FinPerf RE'!D12+'A4-FinPerf RE'!D14+'A4-FinPerf RE'!D15+'A4-FinPerf RE'!D16+'A4-FinPerf RE'!D17+'A4-FinPerf RE'!D18+'A4-FinPerf RE'!D20+'A4-FinPerf RE'!D21</f>
        <v>578356690</v>
      </c>
      <c r="D9" s="558">
        <f>'A4-FinPerf RE'!E12+'A4-FinPerf RE'!E14+'A4-FinPerf RE'!E15+'A4-FinPerf RE'!E16+'A4-FinPerf RE'!E17+'A4-FinPerf RE'!E18+'A4-FinPerf RE'!E20+'A4-FinPerf RE'!E21</f>
        <v>145830284</v>
      </c>
      <c r="E9" s="211">
        <f>'A4-FinPerf RE'!F12+'A4-FinPerf RE'!F14+'A4-FinPerf RE'!F15+'A4-FinPerf RE'!F16+'A4-FinPerf RE'!F17+'A4-FinPerf RE'!F18+'A4-FinPerf RE'!F20+'A4-FinPerf RE'!F21</f>
        <v>73249584.111999989</v>
      </c>
      <c r="F9" s="207">
        <f>'A4-FinPerf RE'!G12+'A4-FinPerf RE'!G14+'A4-FinPerf RE'!G15+'A4-FinPerf RE'!G16+'A4-FinPerf RE'!G17+'A4-FinPerf RE'!G18+'A4-FinPerf RE'!G20+'A4-FinPerf RE'!G21</f>
        <v>117933691</v>
      </c>
      <c r="G9" s="559">
        <f>'A4-FinPerf RE'!H12+'A4-FinPerf RE'!H14+'A4-FinPerf RE'!H15+'A4-FinPerf RE'!H16+'A4-FinPerf RE'!H17+'A4-FinPerf RE'!H18+'A4-FinPerf RE'!H20+'A4-FinPerf RE'!H21</f>
        <v>117933691</v>
      </c>
      <c r="H9" s="210">
        <f>'A4-FinPerf RE'!I12+'A4-FinPerf RE'!I14+'A4-FinPerf RE'!I15+'A4-FinPerf RE'!I16+'A4-FinPerf RE'!I17+'A4-FinPerf RE'!I18+'A4-FinPerf RE'!I20+'A4-FinPerf RE'!I21</f>
        <v>117932691</v>
      </c>
      <c r="I9" s="211">
        <f>'A4-FinPerf RE'!J12+'A4-FinPerf RE'!J14+'A4-FinPerf RE'!J15+'A4-FinPerf RE'!J16+'A4-FinPerf RE'!J17+'A4-FinPerf RE'!J18+'A4-FinPerf RE'!J20+'A4-FinPerf RE'!J21</f>
        <v>81876658</v>
      </c>
      <c r="J9" s="207">
        <f>'A4-FinPerf RE'!K12+'A4-FinPerf RE'!K14+'A4-FinPerf RE'!K15+'A4-FinPerf RE'!K16+'A4-FinPerf RE'!K17+'A4-FinPerf RE'!K18+'A4-FinPerf RE'!K20+'A4-FinPerf RE'!K21</f>
        <v>86065814</v>
      </c>
      <c r="K9" s="559">
        <f>'A4-FinPerf RE'!L12+'A4-FinPerf RE'!L14+'A4-FinPerf RE'!L15+'A4-FinPerf RE'!L16+'A4-FinPerf RE'!L17+'A4-FinPerf RE'!L18+'A4-FinPerf RE'!L20+'A4-FinPerf RE'!L21</f>
        <v>88825812.994834006</v>
      </c>
    </row>
    <row r="10" spans="1:12" ht="25.5" customHeight="1" x14ac:dyDescent="0.25">
      <c r="A10" s="297" t="str">
        <f>'A4-FinPerf RE'!A22</f>
        <v>Total Revenue (excluding capital transfers and contributions)</v>
      </c>
      <c r="B10" s="1343">
        <f t="shared" ref="B10:K10" si="0">SUM(B5:B9)</f>
        <v>2575835750</v>
      </c>
      <c r="C10" s="1343">
        <f t="shared" si="0"/>
        <v>2901980506</v>
      </c>
      <c r="D10" s="1344">
        <f t="shared" si="0"/>
        <v>2887563942</v>
      </c>
      <c r="E10" s="1342">
        <f t="shared" si="0"/>
        <v>2987790079.2277331</v>
      </c>
      <c r="F10" s="1343">
        <f t="shared" si="0"/>
        <v>3138031602</v>
      </c>
      <c r="G10" s="1345">
        <f t="shared" si="0"/>
        <v>3138031602</v>
      </c>
      <c r="H10" s="1346">
        <f t="shared" si="0"/>
        <v>3138031151</v>
      </c>
      <c r="I10" s="1342">
        <f t="shared" si="0"/>
        <v>3540414280</v>
      </c>
      <c r="J10" s="1343">
        <f t="shared" si="0"/>
        <v>3722549259</v>
      </c>
      <c r="K10" s="1345">
        <f t="shared" si="0"/>
        <v>4053497960.6061091</v>
      </c>
    </row>
    <row r="11" spans="1:12" ht="11.25" customHeight="1" x14ac:dyDescent="0.25">
      <c r="A11" s="900" t="s">
        <v>492</v>
      </c>
      <c r="B11" s="207">
        <f>'A4-FinPerf RE'!C25</f>
        <v>629032210</v>
      </c>
      <c r="C11" s="207">
        <f>'A4-FinPerf RE'!D25</f>
        <v>636372680</v>
      </c>
      <c r="D11" s="558">
        <f>'A4-FinPerf RE'!E25</f>
        <v>666197730</v>
      </c>
      <c r="E11" s="211">
        <f>'A4-FinPerf RE'!F25</f>
        <v>713415314.12411785</v>
      </c>
      <c r="F11" s="207">
        <f>'A4-FinPerf RE'!G25</f>
        <v>731928000</v>
      </c>
      <c r="G11" s="559">
        <f>'A4-FinPerf RE'!H25</f>
        <v>731928000</v>
      </c>
      <c r="H11" s="210">
        <f>'A4-FinPerf RE'!I25</f>
        <v>731928000</v>
      </c>
      <c r="I11" s="211">
        <f>'A4-FinPerf RE'!J25</f>
        <v>770619607</v>
      </c>
      <c r="J11" s="207">
        <f>'A4-FinPerf RE'!K25</f>
        <v>819227753</v>
      </c>
      <c r="K11" s="559">
        <f>'A4-FinPerf RE'!L25</f>
        <v>861559522</v>
      </c>
    </row>
    <row r="12" spans="1:12" ht="11.25" customHeight="1" x14ac:dyDescent="0.25">
      <c r="A12" s="900" t="s">
        <v>529</v>
      </c>
      <c r="B12" s="207">
        <f>'A4-FinPerf RE'!C26</f>
        <v>19386131</v>
      </c>
      <c r="C12" s="207">
        <f>'A4-FinPerf RE'!D26</f>
        <v>18417917</v>
      </c>
      <c r="D12" s="558">
        <f>'A4-FinPerf RE'!E26</f>
        <v>31426756</v>
      </c>
      <c r="E12" s="211">
        <f>'A4-FinPerf RE'!F26</f>
        <v>34000349</v>
      </c>
      <c r="F12" s="207">
        <f>'A4-FinPerf RE'!G26</f>
        <v>34001305</v>
      </c>
      <c r="G12" s="559">
        <f>'A4-FinPerf RE'!H26</f>
        <v>33999831</v>
      </c>
      <c r="H12" s="210">
        <f>'A4-FinPerf RE'!I26</f>
        <v>34000000</v>
      </c>
      <c r="I12" s="211">
        <f>'A4-FinPerf RE'!J26</f>
        <v>36419001</v>
      </c>
      <c r="J12" s="207">
        <f>'A4-FinPerf RE'!K26</f>
        <v>38421710</v>
      </c>
      <c r="K12" s="559">
        <f>'A4-FinPerf RE'!L26</f>
        <v>40534551</v>
      </c>
    </row>
    <row r="13" spans="1:12" ht="11.25" customHeight="1" x14ac:dyDescent="0.25">
      <c r="A13" s="900" t="s">
        <v>1487</v>
      </c>
      <c r="B13" s="207">
        <f>'A4-FinPerf RE'!C28</f>
        <v>124066562</v>
      </c>
      <c r="C13" s="207">
        <f>'A4-FinPerf RE'!D28</f>
        <v>253513339</v>
      </c>
      <c r="D13" s="558">
        <f>'A4-FinPerf RE'!E28</f>
        <v>273650196</v>
      </c>
      <c r="E13" s="211">
        <f>'A4-FinPerf RE'!F28</f>
        <v>158000000</v>
      </c>
      <c r="F13" s="207">
        <f>'A4-FinPerf RE'!G28</f>
        <v>158000000</v>
      </c>
      <c r="G13" s="559">
        <f>'A4-FinPerf RE'!H28</f>
        <v>158000000</v>
      </c>
      <c r="H13" s="210">
        <f>'A4-FinPerf RE'!I28</f>
        <v>158000000</v>
      </c>
      <c r="I13" s="211">
        <f>'A4-FinPerf RE'!J28</f>
        <v>189600000</v>
      </c>
      <c r="J13" s="207">
        <f>'A4-FinPerf RE'!K28</f>
        <v>227520000</v>
      </c>
      <c r="K13" s="559">
        <f>'A4-FinPerf RE'!L28</f>
        <v>273024000</v>
      </c>
    </row>
    <row r="14" spans="1:12" ht="11.25" customHeight="1" x14ac:dyDescent="0.25">
      <c r="A14" s="900" t="s">
        <v>1549</v>
      </c>
      <c r="B14" s="207">
        <f>'A4-FinPerf RE'!C29</f>
        <v>75273070</v>
      </c>
      <c r="C14" s="207">
        <f>'A4-FinPerf RE'!D29</f>
        <v>71568061</v>
      </c>
      <c r="D14" s="558">
        <f>'A4-FinPerf RE'!E29</f>
        <v>32624067</v>
      </c>
      <c r="E14" s="211">
        <f>'A4-FinPerf RE'!F29</f>
        <v>77500000</v>
      </c>
      <c r="F14" s="207">
        <f>'A4-FinPerf RE'!G29</f>
        <v>70830675</v>
      </c>
      <c r="G14" s="559">
        <f>'A4-FinPerf RE'!H29</f>
        <v>70830675</v>
      </c>
      <c r="H14" s="210">
        <f>'A4-FinPerf RE'!I29</f>
        <v>70830675</v>
      </c>
      <c r="I14" s="211">
        <f>'A4-FinPerf RE'!J29</f>
        <v>64600000</v>
      </c>
      <c r="J14" s="207">
        <f>'A4-FinPerf RE'!K29</f>
        <v>59255486</v>
      </c>
      <c r="K14" s="559">
        <f>'A4-FinPerf RE'!L29</f>
        <v>54480000</v>
      </c>
    </row>
    <row r="15" spans="1:12" ht="11.25" customHeight="1" x14ac:dyDescent="0.25">
      <c r="A15" s="900" t="s">
        <v>499</v>
      </c>
      <c r="B15" s="207">
        <f>'A4-FinPerf RE'!C30+'A4-FinPerf RE'!C31</f>
        <v>804979363</v>
      </c>
      <c r="C15" s="207">
        <f>'A4-FinPerf RE'!D30+'A4-FinPerf RE'!D31</f>
        <v>994365930</v>
      </c>
      <c r="D15" s="558">
        <f>'A4-FinPerf RE'!E30+'A4-FinPerf RE'!E31</f>
        <v>1217334860</v>
      </c>
      <c r="E15" s="211">
        <f>'A4-FinPerf RE'!F30+'A4-FinPerf RE'!F31</f>
        <v>1397077733.4685013</v>
      </c>
      <c r="F15" s="207">
        <f>'A4-FinPerf RE'!G30+'A4-FinPerf RE'!G31</f>
        <v>1425549932</v>
      </c>
      <c r="G15" s="559">
        <f>'A4-FinPerf RE'!H30+'A4-FinPerf RE'!H31</f>
        <v>1425549932</v>
      </c>
      <c r="H15" s="210">
        <f>'A4-FinPerf RE'!I30+'A4-FinPerf RE'!I31</f>
        <v>1425549932</v>
      </c>
      <c r="I15" s="211">
        <f>'A4-FinPerf RE'!J30+'A4-FinPerf RE'!J31</f>
        <v>1520315021</v>
      </c>
      <c r="J15" s="207">
        <f>'A4-FinPerf RE'!K30+'A4-FinPerf RE'!K31</f>
        <v>1650633544</v>
      </c>
      <c r="K15" s="559">
        <f>'A4-FinPerf RE'!L30+'A4-FinPerf RE'!L31</f>
        <v>1795318200</v>
      </c>
    </row>
    <row r="16" spans="1:12" ht="11.25" customHeight="1" x14ac:dyDescent="0.25">
      <c r="A16" s="1529" t="s">
        <v>787</v>
      </c>
      <c r="B16" s="207">
        <f>'A4-FinPerf RE'!C33</f>
        <v>1710637</v>
      </c>
      <c r="C16" s="207">
        <f>'A4-FinPerf RE'!D33</f>
        <v>194735</v>
      </c>
      <c r="D16" s="558">
        <f>'A4-FinPerf RE'!E33</f>
        <v>4143827</v>
      </c>
      <c r="E16" s="211">
        <f>'A4-FinPerf RE'!F33</f>
        <v>4500000</v>
      </c>
      <c r="F16" s="207">
        <f>'A4-FinPerf RE'!G33</f>
        <v>4500000</v>
      </c>
      <c r="G16" s="559">
        <f>'A4-FinPerf RE'!H33</f>
        <v>4500000</v>
      </c>
      <c r="H16" s="210">
        <f>'A4-FinPerf RE'!I33</f>
        <v>4500000</v>
      </c>
      <c r="I16" s="211">
        <f>'A4-FinPerf RE'!J33</f>
        <v>5027304</v>
      </c>
      <c r="J16" s="207">
        <f>'A4-FinPerf RE'!K33</f>
        <v>5273870</v>
      </c>
      <c r="K16" s="559">
        <f>'A4-FinPerf RE'!L33</f>
        <v>5562739</v>
      </c>
    </row>
    <row r="17" spans="1:12" ht="11.25" customHeight="1" x14ac:dyDescent="0.25">
      <c r="A17" s="900" t="s">
        <v>955</v>
      </c>
      <c r="B17" s="207">
        <f>'A4-FinPerf RE'!C27+'A4-FinPerf RE'!C32+'A4-FinPerf RE'!C34+'A4-FinPerf RE'!C35</f>
        <v>1152652209</v>
      </c>
      <c r="C17" s="207">
        <f>'A4-FinPerf RE'!D27+'A4-FinPerf RE'!D32+'A4-FinPerf RE'!D34+'A4-FinPerf RE'!D35</f>
        <v>832768655</v>
      </c>
      <c r="D17" s="558">
        <f>'A4-FinPerf RE'!E27+'A4-FinPerf RE'!E32+'A4-FinPerf RE'!E34+'A4-FinPerf RE'!E35</f>
        <v>427718733.55000001</v>
      </c>
      <c r="E17" s="211">
        <f>'A4-FinPerf RE'!F27+'A4-FinPerf RE'!F32+'A4-FinPerf RE'!F34+'A4-FinPerf RE'!F35</f>
        <v>598152889.10000002</v>
      </c>
      <c r="F17" s="207">
        <f>'A4-FinPerf RE'!G27+'A4-FinPerf RE'!G32+'A4-FinPerf RE'!G34+'A4-FinPerf RE'!G35</f>
        <v>704430656</v>
      </c>
      <c r="G17" s="559">
        <f>'A4-FinPerf RE'!H27+'A4-FinPerf RE'!H32+'A4-FinPerf RE'!H34+'A4-FinPerf RE'!H35</f>
        <v>704430656</v>
      </c>
      <c r="H17" s="210">
        <f>'A4-FinPerf RE'!I27+'A4-FinPerf RE'!I32+'A4-FinPerf RE'!I34+'A4-FinPerf RE'!I35</f>
        <v>704430656</v>
      </c>
      <c r="I17" s="211">
        <f>'A4-FinPerf RE'!J27+'A4-FinPerf RE'!J32+'A4-FinPerf RE'!J34+'A4-FinPerf RE'!J35</f>
        <v>887247528</v>
      </c>
      <c r="J17" s="207">
        <f>'A4-FinPerf RE'!K27+'A4-FinPerf RE'!K32+'A4-FinPerf RE'!K34+'A4-FinPerf RE'!K35</f>
        <v>857659992</v>
      </c>
      <c r="K17" s="559">
        <f>'A4-FinPerf RE'!L27+'A4-FinPerf RE'!L32+'A4-FinPerf RE'!L34+'A4-FinPerf RE'!L35</f>
        <v>973018182</v>
      </c>
    </row>
    <row r="18" spans="1:12" ht="11.25" customHeight="1" x14ac:dyDescent="0.25">
      <c r="A18" s="901" t="str">
        <f>'A4-FinPerf RE'!A36</f>
        <v>Total Expenditure</v>
      </c>
      <c r="B18" s="1319">
        <f>SUM(B11:B17)</f>
        <v>2807100182</v>
      </c>
      <c r="C18" s="1320">
        <f t="shared" ref="C18:K18" si="1">SUM(C11:C17)</f>
        <v>2807201317</v>
      </c>
      <c r="D18" s="1321">
        <f t="shared" si="1"/>
        <v>2653096169.5500002</v>
      </c>
      <c r="E18" s="1319">
        <f t="shared" si="1"/>
        <v>2982646285.6926188</v>
      </c>
      <c r="F18" s="1320">
        <f t="shared" si="1"/>
        <v>3129240568</v>
      </c>
      <c r="G18" s="1322">
        <f t="shared" si="1"/>
        <v>3129239094</v>
      </c>
      <c r="H18" s="1323">
        <f t="shared" si="1"/>
        <v>3129239263</v>
      </c>
      <c r="I18" s="1319">
        <f t="shared" si="1"/>
        <v>3473828461</v>
      </c>
      <c r="J18" s="1320">
        <f t="shared" si="1"/>
        <v>3657992355</v>
      </c>
      <c r="K18" s="1322">
        <f t="shared" si="1"/>
        <v>4003497194</v>
      </c>
    </row>
    <row r="19" spans="1:12" ht="11.25" customHeight="1" x14ac:dyDescent="0.25">
      <c r="A19" s="901" t="str">
        <f>'A4-FinPerf RE'!A38</f>
        <v>Surplus/(Deficit)</v>
      </c>
      <c r="B19" s="1315">
        <f t="shared" ref="B19:K19" si="2">B10-B18</f>
        <v>-231264432</v>
      </c>
      <c r="C19" s="365">
        <f t="shared" si="2"/>
        <v>94779189</v>
      </c>
      <c r="D19" s="1316">
        <f t="shared" si="2"/>
        <v>234467772.44999981</v>
      </c>
      <c r="E19" s="1315">
        <f t="shared" si="2"/>
        <v>5143793.5351142883</v>
      </c>
      <c r="F19" s="365">
        <f t="shared" si="2"/>
        <v>8791034</v>
      </c>
      <c r="G19" s="1317">
        <f t="shared" si="2"/>
        <v>8792508</v>
      </c>
      <c r="H19" s="1318">
        <f t="shared" si="2"/>
        <v>8791888</v>
      </c>
      <c r="I19" s="1315">
        <f t="shared" si="2"/>
        <v>66585819</v>
      </c>
      <c r="J19" s="365">
        <f t="shared" si="2"/>
        <v>64556904</v>
      </c>
      <c r="K19" s="1317">
        <f t="shared" si="2"/>
        <v>50000766.606109142</v>
      </c>
    </row>
    <row r="20" spans="1:12" ht="11.25" customHeight="1" x14ac:dyDescent="0.25">
      <c r="A20" s="900" t="str">
        <f>'A4-FinPerf RE'!A39</f>
        <v>Transfers recognised - capital</v>
      </c>
      <c r="B20" s="211">
        <f>'A4-FinPerf RE'!C39</f>
        <v>0</v>
      </c>
      <c r="C20" s="207">
        <f>'A4-FinPerf RE'!D39</f>
        <v>0</v>
      </c>
      <c r="D20" s="558">
        <f>'A4-FinPerf RE'!E39</f>
        <v>0</v>
      </c>
      <c r="E20" s="211">
        <f>'A4-FinPerf RE'!F39</f>
        <v>0</v>
      </c>
      <c r="F20" s="207">
        <f>'A4-FinPerf RE'!G39</f>
        <v>0</v>
      </c>
      <c r="G20" s="559">
        <f>'A4-FinPerf RE'!H39</f>
        <v>0</v>
      </c>
      <c r="H20" s="210">
        <f>'A4-FinPerf RE'!I39</f>
        <v>0</v>
      </c>
      <c r="I20" s="211">
        <f>'A4-FinPerf RE'!J39</f>
        <v>0</v>
      </c>
      <c r="J20" s="207">
        <f>'A4-FinPerf RE'!K39</f>
        <v>0</v>
      </c>
      <c r="K20" s="559">
        <f>'A4-FinPerf RE'!L39</f>
        <v>0</v>
      </c>
      <c r="L20" s="370"/>
    </row>
    <row r="21" spans="1:12" ht="11.25" customHeight="1" x14ac:dyDescent="0.25">
      <c r="A21" s="900" t="s">
        <v>36</v>
      </c>
      <c r="B21" s="1324">
        <f>'A4-FinPerf RE'!C40+'A4-FinPerf RE'!C41</f>
        <v>0</v>
      </c>
      <c r="C21" s="1325">
        <f>'A4-FinPerf RE'!D40+'A4-FinPerf RE'!D41</f>
        <v>0</v>
      </c>
      <c r="D21" s="1326">
        <f>'A4-FinPerf RE'!E40+'A4-FinPerf RE'!E41</f>
        <v>0</v>
      </c>
      <c r="E21" s="1324">
        <f>'A4-FinPerf RE'!F40+'A4-FinPerf RE'!F41</f>
        <v>0</v>
      </c>
      <c r="F21" s="1325">
        <f>'A4-FinPerf RE'!G40+'A4-FinPerf RE'!G41</f>
        <v>0</v>
      </c>
      <c r="G21" s="1327">
        <f>'A4-FinPerf RE'!H40+'A4-FinPerf RE'!H41</f>
        <v>0</v>
      </c>
      <c r="H21" s="1328">
        <f>'A4-FinPerf RE'!I40+'A4-FinPerf RE'!I41</f>
        <v>0</v>
      </c>
      <c r="I21" s="1324">
        <f>'A4-FinPerf RE'!J40+'A4-FinPerf RE'!J41</f>
        <v>0</v>
      </c>
      <c r="J21" s="1325">
        <f>'A4-FinPerf RE'!K40+'A4-FinPerf RE'!K41</f>
        <v>0</v>
      </c>
      <c r="K21" s="1327">
        <f>'A4-FinPerf RE'!L40+'A4-FinPerf RE'!L41</f>
        <v>0</v>
      </c>
      <c r="L21" s="370"/>
    </row>
    <row r="22" spans="1:12" ht="21" x14ac:dyDescent="0.25">
      <c r="A22" s="1161" t="str">
        <f>'A4-FinPerf RE'!A42</f>
        <v>Surplus/(Deficit) after capital transfers &amp; contributions</v>
      </c>
      <c r="B22" s="1360">
        <f>B19+SUM(B20:B21)</f>
        <v>-231264432</v>
      </c>
      <c r="C22" s="1361">
        <f t="shared" ref="C22:K22" si="3">C19+SUM(C20:C21)</f>
        <v>94779189</v>
      </c>
      <c r="D22" s="1362">
        <f t="shared" si="3"/>
        <v>234467772.44999981</v>
      </c>
      <c r="E22" s="1360">
        <f t="shared" si="3"/>
        <v>5143793.5351142883</v>
      </c>
      <c r="F22" s="1361">
        <f t="shared" si="3"/>
        <v>8791034</v>
      </c>
      <c r="G22" s="1363">
        <f t="shared" si="3"/>
        <v>8792508</v>
      </c>
      <c r="H22" s="1364">
        <f t="shared" si="3"/>
        <v>8791888</v>
      </c>
      <c r="I22" s="1360">
        <f t="shared" si="3"/>
        <v>66585819</v>
      </c>
      <c r="J22" s="1361">
        <f t="shared" si="3"/>
        <v>64556904</v>
      </c>
      <c r="K22" s="1363">
        <f t="shared" si="3"/>
        <v>50000766.606109142</v>
      </c>
      <c r="L22" s="370"/>
    </row>
    <row r="23" spans="1:12" x14ac:dyDescent="0.25">
      <c r="A23" s="1162" t="str">
        <f>'A4-FinPerf RE'!A47</f>
        <v>Share of surplus/ (deficit) of associate</v>
      </c>
      <c r="B23" s="207">
        <f>'A4-FinPerf RE'!C47</f>
        <v>0</v>
      </c>
      <c r="C23" s="207">
        <f>'A4-FinPerf RE'!D47</f>
        <v>0</v>
      </c>
      <c r="D23" s="558">
        <f>'A4-FinPerf RE'!E47</f>
        <v>0</v>
      </c>
      <c r="E23" s="211">
        <f>'A4-FinPerf RE'!F47</f>
        <v>0</v>
      </c>
      <c r="F23" s="207">
        <f>'A4-FinPerf RE'!G47</f>
        <v>0</v>
      </c>
      <c r="G23" s="559">
        <f>'A4-FinPerf RE'!H47</f>
        <v>0</v>
      </c>
      <c r="H23" s="210">
        <f>'A4-FinPerf RE'!I47</f>
        <v>0</v>
      </c>
      <c r="I23" s="211">
        <f>'A4-FinPerf RE'!J47</f>
        <v>0</v>
      </c>
      <c r="J23" s="207">
        <f>'A4-FinPerf RE'!K47</f>
        <v>0</v>
      </c>
      <c r="K23" s="559">
        <f>'A4-FinPerf RE'!L47</f>
        <v>0</v>
      </c>
    </row>
    <row r="24" spans="1:12" x14ac:dyDescent="0.25">
      <c r="A24" s="1161" t="str">
        <f>'A4-FinPerf RE'!A48</f>
        <v>Surplus/(Deficit) for the year</v>
      </c>
      <c r="B24" s="1315">
        <f>B22+B23</f>
        <v>-231264432</v>
      </c>
      <c r="C24" s="365">
        <f t="shared" ref="C24:K24" si="4">C22+C23</f>
        <v>94779189</v>
      </c>
      <c r="D24" s="1316">
        <f t="shared" si="4"/>
        <v>234467772.44999981</v>
      </c>
      <c r="E24" s="1315">
        <f t="shared" si="4"/>
        <v>5143793.5351142883</v>
      </c>
      <c r="F24" s="365">
        <f t="shared" si="4"/>
        <v>8791034</v>
      </c>
      <c r="G24" s="1317">
        <f t="shared" si="4"/>
        <v>8792508</v>
      </c>
      <c r="H24" s="1318">
        <f t="shared" si="4"/>
        <v>8791888</v>
      </c>
      <c r="I24" s="1315">
        <f t="shared" si="4"/>
        <v>66585819</v>
      </c>
      <c r="J24" s="365">
        <f t="shared" si="4"/>
        <v>64556904</v>
      </c>
      <c r="K24" s="1317">
        <f t="shared" si="4"/>
        <v>50000766.606109142</v>
      </c>
    </row>
    <row r="25" spans="1:12" ht="5.15" customHeight="1" x14ac:dyDescent="0.25">
      <c r="A25" s="1163"/>
      <c r="B25" s="158"/>
      <c r="C25" s="159"/>
      <c r="D25" s="160"/>
      <c r="E25" s="158"/>
      <c r="F25" s="159"/>
      <c r="G25" s="160"/>
      <c r="H25" s="161"/>
      <c r="I25" s="158"/>
      <c r="J25" s="159"/>
      <c r="K25" s="160"/>
    </row>
    <row r="26" spans="1:12" ht="11.25" customHeight="1" x14ac:dyDescent="0.25">
      <c r="A26" s="897" t="s">
        <v>1066</v>
      </c>
      <c r="B26" s="165"/>
      <c r="C26" s="166"/>
      <c r="D26" s="167"/>
      <c r="E26" s="165"/>
      <c r="F26" s="166"/>
      <c r="G26" s="167"/>
      <c r="H26" s="168"/>
      <c r="I26" s="165"/>
      <c r="J26" s="166"/>
      <c r="K26" s="167"/>
    </row>
    <row r="27" spans="1:12" ht="11.25" customHeight="1" x14ac:dyDescent="0.25">
      <c r="A27" s="901" t="s">
        <v>1500</v>
      </c>
      <c r="B27" s="1130">
        <f>'A5-Capex'!C63</f>
        <v>176033493</v>
      </c>
      <c r="C27" s="207">
        <f>'A5-Capex'!D63</f>
        <v>111148752.19999999</v>
      </c>
      <c r="D27" s="558">
        <f>'A5-Capex'!E63</f>
        <v>223562988.60999995</v>
      </c>
      <c r="E27" s="211">
        <f>'A5-Capex'!F63</f>
        <v>230014000</v>
      </c>
      <c r="F27" s="207">
        <f>'A5-Capex'!G63</f>
        <v>309755750</v>
      </c>
      <c r="G27" s="559">
        <f>'A5-Capex'!H63</f>
        <v>309755750</v>
      </c>
      <c r="H27" s="210">
        <f>'A5-Capex'!I63</f>
        <v>309755750</v>
      </c>
      <c r="I27" s="211">
        <f>'A5-Capex'!J63</f>
        <v>475658405</v>
      </c>
      <c r="J27" s="207">
        <f>'A5-Capex'!K63</f>
        <v>254271000</v>
      </c>
      <c r="K27" s="559">
        <f>'A5-Capex'!L63</f>
        <v>242390000</v>
      </c>
    </row>
    <row r="28" spans="1:12" ht="11.25" customHeight="1" x14ac:dyDescent="0.25">
      <c r="A28" s="1530" t="s">
        <v>1344</v>
      </c>
      <c r="B28" s="1130">
        <f>'A5-Capex'!C70</f>
        <v>78407235</v>
      </c>
      <c r="C28" s="207">
        <f>'A5-Capex'!D70</f>
        <v>84654112.489999995</v>
      </c>
      <c r="D28" s="558">
        <f>'A5-Capex'!E70</f>
        <v>148673829</v>
      </c>
      <c r="E28" s="211">
        <f>'A5-Capex'!F70</f>
        <v>230014000</v>
      </c>
      <c r="F28" s="207">
        <f>'A5-Capex'!G70</f>
        <v>216718734</v>
      </c>
      <c r="G28" s="559">
        <f>'A5-Capex'!H70</f>
        <v>216718734</v>
      </c>
      <c r="H28" s="210">
        <f>'A5-Capex'!I70</f>
        <v>216718734</v>
      </c>
      <c r="I28" s="211">
        <f>'A5-Capex'!J70</f>
        <v>415658405</v>
      </c>
      <c r="J28" s="207">
        <f>'A5-Capex'!K70</f>
        <v>194271000</v>
      </c>
      <c r="K28" s="559">
        <f>'A5-Capex'!L70</f>
        <v>192390000</v>
      </c>
    </row>
    <row r="29" spans="1:12" ht="11.25" customHeight="1" x14ac:dyDescent="0.25">
      <c r="A29" s="900" t="str">
        <f>'A5-Capex'!A71</f>
        <v>Public contributions &amp; donations</v>
      </c>
      <c r="B29" s="1130">
        <f>'A5-Capex'!C71</f>
        <v>0</v>
      </c>
      <c r="C29" s="207">
        <f>'A5-Capex'!D71</f>
        <v>0</v>
      </c>
      <c r="D29" s="558">
        <f>'A5-Capex'!E71</f>
        <v>0</v>
      </c>
      <c r="E29" s="211">
        <f>'A5-Capex'!F71</f>
        <v>0</v>
      </c>
      <c r="F29" s="207">
        <f>'A5-Capex'!G71</f>
        <v>135193</v>
      </c>
      <c r="G29" s="559">
        <f>'A5-Capex'!H71</f>
        <v>135193</v>
      </c>
      <c r="H29" s="210">
        <f>'A5-Capex'!I71</f>
        <v>135193</v>
      </c>
      <c r="I29" s="211">
        <f>'A5-Capex'!J71</f>
        <v>0</v>
      </c>
      <c r="J29" s="207">
        <f>'A5-Capex'!K71</f>
        <v>0</v>
      </c>
      <c r="K29" s="559">
        <f>'A5-Capex'!L71</f>
        <v>0</v>
      </c>
    </row>
    <row r="30" spans="1:12" ht="11.25" customHeight="1" x14ac:dyDescent="0.25">
      <c r="A30" s="900" t="str">
        <f>'A5-Capex'!A72</f>
        <v>Borrowing</v>
      </c>
      <c r="B30" s="1130">
        <f>'A5-Capex'!C72</f>
        <v>97626257</v>
      </c>
      <c r="C30" s="207">
        <f>'A5-Capex'!D72</f>
        <v>26494640.800000001</v>
      </c>
      <c r="D30" s="558">
        <f>'A5-Capex'!E72</f>
        <v>0</v>
      </c>
      <c r="E30" s="211">
        <f>'A5-Capex'!F72</f>
        <v>0</v>
      </c>
      <c r="F30" s="207">
        <f>'A5-Capex'!G72</f>
        <v>47075219</v>
      </c>
      <c r="G30" s="559">
        <f>'A5-Capex'!H72</f>
        <v>47075219</v>
      </c>
      <c r="H30" s="210">
        <f>'A5-Capex'!I72</f>
        <v>47075219</v>
      </c>
      <c r="I30" s="211">
        <f>'A5-Capex'!J72</f>
        <v>0</v>
      </c>
      <c r="J30" s="207">
        <f>'A5-Capex'!K72</f>
        <v>0</v>
      </c>
      <c r="K30" s="559">
        <f>'A5-Capex'!L72</f>
        <v>0</v>
      </c>
    </row>
    <row r="31" spans="1:12" ht="11.25" customHeight="1" x14ac:dyDescent="0.25">
      <c r="A31" s="900" t="str">
        <f>'A5-Capex'!A73</f>
        <v>Internally generated funds</v>
      </c>
      <c r="B31" s="1130">
        <f>'A5-Capex'!C73</f>
        <v>0</v>
      </c>
      <c r="C31" s="207">
        <f>'A5-Capex'!D73</f>
        <v>0</v>
      </c>
      <c r="D31" s="558">
        <f>'A5-Capex'!E73</f>
        <v>74889457.099999994</v>
      </c>
      <c r="E31" s="211">
        <f>'A5-Capex'!F73</f>
        <v>0</v>
      </c>
      <c r="F31" s="207">
        <f>'A5-Capex'!G73</f>
        <v>45826604</v>
      </c>
      <c r="G31" s="559">
        <f>'A5-Capex'!H73</f>
        <v>45826604</v>
      </c>
      <c r="H31" s="210">
        <f>'A5-Capex'!I73</f>
        <v>45826604</v>
      </c>
      <c r="I31" s="211">
        <f>'A5-Capex'!J73</f>
        <v>60000103</v>
      </c>
      <c r="J31" s="207">
        <f>'A5-Capex'!K73</f>
        <v>60000000</v>
      </c>
      <c r="K31" s="559">
        <f>'A5-Capex'!L73</f>
        <v>50000000</v>
      </c>
    </row>
    <row r="32" spans="1:12" s="246" customFormat="1" ht="11.25" customHeight="1" x14ac:dyDescent="0.25">
      <c r="A32" s="901" t="s">
        <v>393</v>
      </c>
      <c r="B32" s="1130">
        <f t="shared" ref="B32:K32" si="5">SUM(B28:B31)</f>
        <v>176033492</v>
      </c>
      <c r="C32" s="207">
        <f t="shared" si="5"/>
        <v>111148753.28999999</v>
      </c>
      <c r="D32" s="558">
        <f t="shared" si="5"/>
        <v>223563286.09999999</v>
      </c>
      <c r="E32" s="211">
        <f t="shared" si="5"/>
        <v>230014000</v>
      </c>
      <c r="F32" s="207">
        <f t="shared" si="5"/>
        <v>309755750</v>
      </c>
      <c r="G32" s="559">
        <f t="shared" si="5"/>
        <v>309755750</v>
      </c>
      <c r="H32" s="210">
        <f t="shared" si="5"/>
        <v>309755750</v>
      </c>
      <c r="I32" s="211">
        <f t="shared" si="5"/>
        <v>475658508</v>
      </c>
      <c r="J32" s="207">
        <f t="shared" si="5"/>
        <v>254271000</v>
      </c>
      <c r="K32" s="559">
        <f t="shared" si="5"/>
        <v>242390000</v>
      </c>
    </row>
    <row r="33" spans="1:15" ht="5.15" customHeight="1" x14ac:dyDescent="0.25">
      <c r="A33" s="901"/>
      <c r="B33" s="169"/>
      <c r="C33" s="170"/>
      <c r="D33" s="171"/>
      <c r="E33" s="169"/>
      <c r="F33" s="170"/>
      <c r="G33" s="171"/>
      <c r="H33" s="172"/>
      <c r="I33" s="169"/>
      <c r="J33" s="170"/>
      <c r="K33" s="171"/>
      <c r="O33" s="246"/>
    </row>
    <row r="34" spans="1:15" ht="11.25" customHeight="1" x14ac:dyDescent="0.25">
      <c r="A34" s="897" t="s">
        <v>202</v>
      </c>
      <c r="B34" s="165"/>
      <c r="C34" s="166"/>
      <c r="D34" s="167"/>
      <c r="E34" s="165"/>
      <c r="F34" s="166"/>
      <c r="G34" s="167"/>
      <c r="H34" s="168"/>
      <c r="I34" s="165"/>
      <c r="J34" s="166"/>
      <c r="K34" s="167"/>
      <c r="O34" s="246"/>
    </row>
    <row r="35" spans="1:15" ht="11.25" customHeight="1" x14ac:dyDescent="0.25">
      <c r="A35" s="900" t="str">
        <f>'A6-FinPos'!A12</f>
        <v>Total current assets</v>
      </c>
      <c r="B35" s="1130">
        <f>'A6-FinPos'!C12</f>
        <v>449249518</v>
      </c>
      <c r="C35" s="207">
        <f>'A6-FinPos'!D12</f>
        <v>720609123</v>
      </c>
      <c r="D35" s="558">
        <f>'A6-FinPos'!E12</f>
        <v>1202713481</v>
      </c>
      <c r="E35" s="211">
        <f>'A6-FinPos'!F12</f>
        <v>1416364625.9000001</v>
      </c>
      <c r="F35" s="207">
        <f>'A6-FinPos'!G12</f>
        <v>1552712334.9000001</v>
      </c>
      <c r="G35" s="559">
        <f>'A6-FinPos'!H12</f>
        <v>1552712334.9000001</v>
      </c>
      <c r="H35" s="210">
        <f>'A6-FinPos'!I12</f>
        <v>1552712334.9000001</v>
      </c>
      <c r="I35" s="211">
        <f>'A6-FinPos'!J12</f>
        <v>1715499781.6400001</v>
      </c>
      <c r="J35" s="207">
        <f>'A6-FinPos'!K12</f>
        <v>1678472643.2646496</v>
      </c>
      <c r="K35" s="559">
        <f>'A6-FinPos'!L12</f>
        <v>2568826000</v>
      </c>
      <c r="O35" s="246"/>
    </row>
    <row r="36" spans="1:15" ht="11.25" customHeight="1" x14ac:dyDescent="0.25">
      <c r="A36" s="900" t="str">
        <f>'A6-FinPos'!A24</f>
        <v>Total non current assets</v>
      </c>
      <c r="B36" s="1130">
        <f>'A6-FinPos'!C24</f>
        <v>6766629735</v>
      </c>
      <c r="C36" s="207">
        <f>'A6-FinPos'!D24</f>
        <v>6817001904</v>
      </c>
      <c r="D36" s="558">
        <f>'A6-FinPos'!E24</f>
        <v>6754400580</v>
      </c>
      <c r="E36" s="211">
        <f>'A6-FinPos'!F24</f>
        <v>7129993492</v>
      </c>
      <c r="F36" s="207">
        <f>'A6-FinPos'!G24</f>
        <v>7129993934</v>
      </c>
      <c r="G36" s="559">
        <f>'A6-FinPos'!H24</f>
        <v>7129993934</v>
      </c>
      <c r="H36" s="210">
        <f>'A6-FinPos'!I24</f>
        <v>7129993934</v>
      </c>
      <c r="I36" s="211">
        <f>'A6-FinPos'!J24</f>
        <v>6923709337.3940001</v>
      </c>
      <c r="J36" s="207">
        <f>'A6-FinPos'!K24</f>
        <v>6896753063.4915152</v>
      </c>
      <c r="K36" s="559">
        <f>'A6-FinPos'!L24</f>
        <v>7083277219</v>
      </c>
      <c r="O36" s="246"/>
    </row>
    <row r="37" spans="1:15" ht="11.25" customHeight="1" x14ac:dyDescent="0.25">
      <c r="A37" s="900" t="str">
        <f>'A6-FinPos'!A34</f>
        <v>Total current liabilities</v>
      </c>
      <c r="B37" s="1130">
        <f>'A6-FinPos'!C34</f>
        <v>573873801</v>
      </c>
      <c r="C37" s="207">
        <f>'A6-FinPos'!D34</f>
        <v>601260709</v>
      </c>
      <c r="D37" s="558">
        <f>'A6-FinPos'!E34</f>
        <v>772080566</v>
      </c>
      <c r="E37" s="211">
        <f>'A6-FinPos'!F34</f>
        <v>377020649</v>
      </c>
      <c r="F37" s="207">
        <f>'A6-FinPos'!G34</f>
        <v>377020649</v>
      </c>
      <c r="G37" s="559">
        <f>'A6-FinPos'!H34</f>
        <v>377020649</v>
      </c>
      <c r="H37" s="210">
        <f>'A6-FinPos'!I34</f>
        <v>377020649</v>
      </c>
      <c r="I37" s="211">
        <f>'A6-FinPos'!J34</f>
        <v>411078137.27499998</v>
      </c>
      <c r="J37" s="207">
        <f>'A6-FinPos'!K34</f>
        <v>427803119.22447497</v>
      </c>
      <c r="K37" s="559">
        <f>'A6-FinPos'!L34</f>
        <v>462064219</v>
      </c>
      <c r="O37" s="246"/>
    </row>
    <row r="38" spans="1:15" ht="11.25" customHeight="1" x14ac:dyDescent="0.25">
      <c r="A38" s="900" t="str">
        <f>'A6-FinPos'!A39</f>
        <v>Total non current liabilities</v>
      </c>
      <c r="B38" s="1130">
        <f>'A6-FinPos'!C39</f>
        <v>724849668</v>
      </c>
      <c r="C38" s="207">
        <f>'A6-FinPos'!D39</f>
        <v>750942508</v>
      </c>
      <c r="D38" s="558">
        <f>'A6-FinPos'!E39</f>
        <v>886085229</v>
      </c>
      <c r="E38" s="211">
        <f>'A6-FinPos'!F39</f>
        <v>649894464</v>
      </c>
      <c r="F38" s="207">
        <f>'A6-FinPos'!G39</f>
        <v>649894464</v>
      </c>
      <c r="G38" s="559">
        <f>'A6-FinPos'!H39</f>
        <v>649894464</v>
      </c>
      <c r="H38" s="210">
        <f>'A6-FinPos'!I39</f>
        <v>649894464</v>
      </c>
      <c r="I38" s="211">
        <f>'A6-FinPos'!J39</f>
        <v>573000000</v>
      </c>
      <c r="J38" s="207">
        <f>'A6-FinPos'!K39</f>
        <v>503000000</v>
      </c>
      <c r="K38" s="559">
        <f>'A6-FinPos'!L39</f>
        <v>430000000</v>
      </c>
      <c r="O38" s="246"/>
    </row>
    <row r="39" spans="1:15" ht="11.25" customHeight="1" x14ac:dyDescent="0.25">
      <c r="A39" s="900" t="s">
        <v>37</v>
      </c>
      <c r="B39" s="1130">
        <f>'A6-FinPos'!C48</f>
        <v>5917155784</v>
      </c>
      <c r="C39" s="207">
        <f>'A6-FinPos'!D48</f>
        <v>6185407810</v>
      </c>
      <c r="D39" s="558">
        <f>'A6-FinPos'!E48</f>
        <v>6298948266</v>
      </c>
      <c r="E39" s="211">
        <f>'A6-FinPos'!F48</f>
        <v>7519443004.8999996</v>
      </c>
      <c r="F39" s="207">
        <f>'A6-FinPos'!G48</f>
        <v>7655791155.8999996</v>
      </c>
      <c r="G39" s="559">
        <f>'A6-FinPos'!H48</f>
        <v>7655791155.8999996</v>
      </c>
      <c r="H39" s="210">
        <f>'A6-FinPos'!I48</f>
        <v>7655791155.8999996</v>
      </c>
      <c r="I39" s="211">
        <f>'A6-FinPos'!J48</f>
        <v>7655130981.7579994</v>
      </c>
      <c r="J39" s="207">
        <f>'A6-FinPos'!K48</f>
        <v>7644422587.5278711</v>
      </c>
      <c r="K39" s="559">
        <f>'A6-FinPos'!L48</f>
        <v>8760039000</v>
      </c>
      <c r="O39" s="246"/>
    </row>
    <row r="40" spans="1:15" ht="5.15" customHeight="1" x14ac:dyDescent="0.25">
      <c r="A40" s="1163"/>
      <c r="B40" s="158"/>
      <c r="C40" s="159"/>
      <c r="D40" s="160"/>
      <c r="E40" s="158"/>
      <c r="F40" s="159"/>
      <c r="G40" s="160"/>
      <c r="H40" s="161"/>
      <c r="I40" s="158"/>
      <c r="J40" s="159"/>
      <c r="K40" s="160"/>
      <c r="O40" s="246"/>
    </row>
    <row r="41" spans="1:15" ht="11.25" customHeight="1" x14ac:dyDescent="0.25">
      <c r="A41" s="897" t="s">
        <v>203</v>
      </c>
      <c r="B41" s="165"/>
      <c r="C41" s="166"/>
      <c r="D41" s="167"/>
      <c r="E41" s="165"/>
      <c r="F41" s="166"/>
      <c r="G41" s="167"/>
      <c r="H41" s="168"/>
      <c r="I41" s="165"/>
      <c r="J41" s="166"/>
      <c r="K41" s="167"/>
      <c r="O41" s="246"/>
    </row>
    <row r="42" spans="1:15" ht="11.25" customHeight="1" x14ac:dyDescent="0.25">
      <c r="A42" s="900" t="s">
        <v>983</v>
      </c>
      <c r="B42" s="1130">
        <f>'A7-CFlow'!C15</f>
        <v>38086535</v>
      </c>
      <c r="C42" s="207">
        <f>'A7-CFlow'!D15</f>
        <v>480683130</v>
      </c>
      <c r="D42" s="558">
        <f>'A7-CFlow'!E15</f>
        <v>436330834</v>
      </c>
      <c r="E42" s="211">
        <f>'A7-CFlow'!F15</f>
        <v>243413000</v>
      </c>
      <c r="F42" s="207">
        <f>'A7-CFlow'!G15</f>
        <v>413675855</v>
      </c>
      <c r="G42" s="559">
        <f>'A7-CFlow'!H15</f>
        <v>413675855</v>
      </c>
      <c r="H42" s="210">
        <f>'A7-CFlow'!I15</f>
        <v>413675855</v>
      </c>
      <c r="I42" s="211">
        <f>'A7-CFlow'!J15</f>
        <v>417255000</v>
      </c>
      <c r="J42" s="207">
        <f>'A7-CFlow'!K15</f>
        <v>283570000</v>
      </c>
      <c r="K42" s="559">
        <f>'A7-CFlow'!L15</f>
        <v>141211000</v>
      </c>
    </row>
    <row r="43" spans="1:15" ht="11.25" customHeight="1" x14ac:dyDescent="0.25">
      <c r="A43" s="900" t="s">
        <v>984</v>
      </c>
      <c r="B43" s="1130">
        <f>'A7-CFlow'!C25</f>
        <v>-29846583</v>
      </c>
      <c r="C43" s="207">
        <f>'A7-CFlow'!D25</f>
        <v>-302834494</v>
      </c>
      <c r="D43" s="558">
        <f>'A7-CFlow'!E25</f>
        <v>-210231208</v>
      </c>
      <c r="E43" s="211">
        <f>'A7-CFlow'!F25</f>
        <v>-229484000</v>
      </c>
      <c r="F43" s="207">
        <f>'A7-CFlow'!G25</f>
        <v>-263929146</v>
      </c>
      <c r="G43" s="559">
        <f>'A7-CFlow'!H25</f>
        <v>-263399146</v>
      </c>
      <c r="H43" s="210">
        <f>'A7-CFlow'!I25</f>
        <v>-263399146</v>
      </c>
      <c r="I43" s="211">
        <f>'A7-CFlow'!J25</f>
        <v>-416083000</v>
      </c>
      <c r="J43" s="207">
        <f>'A7-CFlow'!K25</f>
        <v>-194686000</v>
      </c>
      <c r="K43" s="559">
        <f>'A7-CFlow'!L25</f>
        <v>-193010000</v>
      </c>
    </row>
    <row r="44" spans="1:15" ht="11.25" customHeight="1" x14ac:dyDescent="0.25">
      <c r="A44" s="900" t="s">
        <v>982</v>
      </c>
      <c r="B44" s="1130">
        <f>'A7-CFlow'!C34</f>
        <v>139591765</v>
      </c>
      <c r="C44" s="207">
        <f>'A7-CFlow'!D34</f>
        <v>-22045684</v>
      </c>
      <c r="D44" s="558">
        <f>'A7-CFlow'!E34</f>
        <v>63596345</v>
      </c>
      <c r="E44" s="211">
        <f>'A7-CFlow'!F34</f>
        <v>19715000</v>
      </c>
      <c r="F44" s="207">
        <f>'A7-CFlow'!G34</f>
        <v>19715000</v>
      </c>
      <c r="G44" s="559">
        <f>'A7-CFlow'!H34</f>
        <v>19715000</v>
      </c>
      <c r="H44" s="210">
        <f>'A7-CFlow'!I34</f>
        <v>19715000</v>
      </c>
      <c r="I44" s="211">
        <f>'A7-CFlow'!J34</f>
        <v>41752000</v>
      </c>
      <c r="J44" s="207">
        <f>'A7-CFlow'!K34</f>
        <v>40645000</v>
      </c>
      <c r="K44" s="559">
        <f>'A7-CFlow'!L34</f>
        <v>233145000</v>
      </c>
    </row>
    <row r="45" spans="1:15" ht="11.25" customHeight="1" x14ac:dyDescent="0.25">
      <c r="A45" s="901" t="str">
        <f>LEFT('A7-CFlow'!A38,37)</f>
        <v>Cash/cash equivalents at the year end</v>
      </c>
      <c r="B45" s="1130">
        <f>'A7-CFlow'!C38</f>
        <v>465435541</v>
      </c>
      <c r="C45" s="207">
        <f>'A7-CFlow'!D38</f>
        <v>621238493</v>
      </c>
      <c r="D45" s="558">
        <f>'A7-CFlow'!E38</f>
        <v>910934464</v>
      </c>
      <c r="E45" s="211">
        <f>'A7-CFlow'!F38</f>
        <v>511892000</v>
      </c>
      <c r="F45" s="207">
        <f>'A7-CFlow'!G38</f>
        <v>647709709</v>
      </c>
      <c r="G45" s="559">
        <f>'A7-CFlow'!H38</f>
        <v>648239709</v>
      </c>
      <c r="H45" s="210">
        <f>'A7-CFlow'!I38</f>
        <v>648239709</v>
      </c>
      <c r="I45" s="211">
        <f>'A7-CFlow'!J38</f>
        <v>691164000</v>
      </c>
      <c r="J45" s="207">
        <f>'A7-CFlow'!K38</f>
        <v>820693000</v>
      </c>
      <c r="K45" s="559">
        <f>'A7-CFlow'!L38</f>
        <v>1002039000</v>
      </c>
    </row>
    <row r="46" spans="1:15" ht="5.15" customHeight="1" x14ac:dyDescent="0.25">
      <c r="A46" s="1163"/>
      <c r="B46" s="158"/>
      <c r="C46" s="159"/>
      <c r="D46" s="160"/>
      <c r="E46" s="158"/>
      <c r="F46" s="159"/>
      <c r="G46" s="160"/>
      <c r="H46" s="161"/>
      <c r="I46" s="158"/>
      <c r="J46" s="159"/>
      <c r="K46" s="160"/>
    </row>
    <row r="47" spans="1:15" ht="11.25" customHeight="1" x14ac:dyDescent="0.25">
      <c r="A47" s="897" t="s">
        <v>288</v>
      </c>
      <c r="B47" s="165"/>
      <c r="C47" s="166"/>
      <c r="D47" s="167"/>
      <c r="E47" s="165"/>
      <c r="F47" s="166"/>
      <c r="G47" s="167"/>
      <c r="H47" s="168"/>
      <c r="I47" s="165"/>
      <c r="J47" s="166"/>
      <c r="K47" s="167"/>
    </row>
    <row r="48" spans="1:15" ht="11.25" customHeight="1" x14ac:dyDescent="0.25">
      <c r="A48" s="900" t="str">
        <f>'A8-ResRecon'!A4</f>
        <v>Cash and investments available</v>
      </c>
      <c r="B48" s="1130">
        <f>'A8-ResRecon'!C8</f>
        <v>138810660</v>
      </c>
      <c r="C48" s="207">
        <f>'A8-ResRecon'!D8</f>
        <v>421215078</v>
      </c>
      <c r="D48" s="558">
        <f>'A8-ResRecon'!E8</f>
        <v>584856000</v>
      </c>
      <c r="E48" s="211">
        <f>'A8-ResRecon'!F8</f>
        <v>573373983</v>
      </c>
      <c r="F48" s="207">
        <f>'A8-ResRecon'!G8</f>
        <v>709721692</v>
      </c>
      <c r="G48" s="559">
        <f>'A8-ResRecon'!H8</f>
        <v>709721692</v>
      </c>
      <c r="H48" s="210">
        <f>'A8-ResRecon'!I8</f>
        <v>709721692</v>
      </c>
      <c r="I48" s="211">
        <f>'A8-ResRecon'!J8</f>
        <v>603762804.09899998</v>
      </c>
      <c r="J48" s="207">
        <f>'A8-ResRecon'!K8</f>
        <v>633347181.49985087</v>
      </c>
      <c r="K48" s="559">
        <f>'A8-ResRecon'!L8</f>
        <v>1656546000</v>
      </c>
    </row>
    <row r="49" spans="1:12" ht="11.25" customHeight="1" x14ac:dyDescent="0.25">
      <c r="A49" s="900" t="str">
        <f>'A8-ResRecon'!A10</f>
        <v>Application of cash and investments</v>
      </c>
      <c r="B49" s="1130">
        <f>'A8-ResRecon'!C18</f>
        <v>860558933</v>
      </c>
      <c r="C49" s="207">
        <f>'A8-ResRecon'!D18</f>
        <v>777410812</v>
      </c>
      <c r="D49" s="558">
        <f>'A8-ResRecon'!E18</f>
        <v>-4170902.75</v>
      </c>
      <c r="E49" s="211">
        <f>'A8-ResRecon'!F18</f>
        <v>149340575</v>
      </c>
      <c r="F49" s="207">
        <f>'A8-ResRecon'!G18</f>
        <v>-655170553</v>
      </c>
      <c r="G49" s="559">
        <f>'A8-ResRecon'!H18</f>
        <v>-7861425</v>
      </c>
      <c r="H49" s="210">
        <f>'A8-ResRecon'!I18</f>
        <v>-655171553</v>
      </c>
      <c r="I49" s="211">
        <f>'A8-ResRecon'!J18</f>
        <v>-307468100</v>
      </c>
      <c r="J49" s="207">
        <f>'A8-ResRecon'!K18</f>
        <v>-176186926</v>
      </c>
      <c r="K49" s="559">
        <f>'A8-ResRecon'!L18</f>
        <v>-114235781</v>
      </c>
    </row>
    <row r="50" spans="1:12" ht="11.25" customHeight="1" x14ac:dyDescent="0.25">
      <c r="A50" s="901" t="s">
        <v>1083</v>
      </c>
      <c r="B50" s="1130">
        <f>B48-B49</f>
        <v>-721748273</v>
      </c>
      <c r="C50" s="207">
        <f t="shared" ref="C50:K50" si="6">C48-C49</f>
        <v>-356195734</v>
      </c>
      <c r="D50" s="558">
        <f t="shared" si="6"/>
        <v>589026902.75</v>
      </c>
      <c r="E50" s="211">
        <f t="shared" si="6"/>
        <v>424033408</v>
      </c>
      <c r="F50" s="207">
        <f t="shared" si="6"/>
        <v>1364892245</v>
      </c>
      <c r="G50" s="559">
        <f t="shared" si="6"/>
        <v>717583117</v>
      </c>
      <c r="H50" s="210">
        <f t="shared" si="6"/>
        <v>1364893245</v>
      </c>
      <c r="I50" s="211">
        <f t="shared" si="6"/>
        <v>911230904.09899998</v>
      </c>
      <c r="J50" s="207">
        <f t="shared" si="6"/>
        <v>809534107.49985087</v>
      </c>
      <c r="K50" s="559">
        <f t="shared" si="6"/>
        <v>1770781781</v>
      </c>
    </row>
    <row r="51" spans="1:12" ht="5.15" customHeight="1" x14ac:dyDescent="0.25">
      <c r="A51" s="926"/>
      <c r="B51" s="174"/>
      <c r="C51" s="175"/>
      <c r="D51" s="176"/>
      <c r="E51" s="174"/>
      <c r="F51" s="175"/>
      <c r="G51" s="176"/>
      <c r="H51" s="177"/>
      <c r="I51" s="174"/>
      <c r="J51" s="175"/>
      <c r="K51" s="176"/>
    </row>
    <row r="52" spans="1:12" ht="11.25" customHeight="1" x14ac:dyDescent="0.25">
      <c r="A52" s="1164" t="s">
        <v>1240</v>
      </c>
      <c r="B52" s="158"/>
      <c r="C52" s="159"/>
      <c r="D52" s="160"/>
      <c r="E52" s="158"/>
      <c r="F52" s="159"/>
      <c r="G52" s="160"/>
      <c r="H52" s="161"/>
      <c r="I52" s="158"/>
      <c r="J52" s="159"/>
      <c r="K52" s="160"/>
      <c r="L52" s="370"/>
    </row>
    <row r="53" spans="1:12" ht="11.25" customHeight="1" x14ac:dyDescent="0.25">
      <c r="A53" s="1165" t="s">
        <v>958</v>
      </c>
      <c r="B53" s="1130">
        <f>'A9-Asset'!C65</f>
        <v>6762439321</v>
      </c>
      <c r="C53" s="207">
        <f>'A9-Asset'!D65</f>
        <v>6810307098</v>
      </c>
      <c r="D53" s="558">
        <f>'A9-Asset'!E65</f>
        <v>6746219305</v>
      </c>
      <c r="E53" s="211">
        <f>'A9-Asset'!F65</f>
        <v>7121964996.9974556</v>
      </c>
      <c r="F53" s="207">
        <f>'A9-Asset'!G65</f>
        <v>7121965439.000001</v>
      </c>
      <c r="G53" s="559">
        <f>'A9-Asset'!H65</f>
        <v>7121965439.000001</v>
      </c>
      <c r="H53" s="210">
        <f>'A9-Asset'!I65</f>
        <v>6915255332.1599998</v>
      </c>
      <c r="I53" s="211">
        <f>'A9-Asset'!I65</f>
        <v>6915255332.1599998</v>
      </c>
      <c r="J53" s="207">
        <f>'A9-Asset'!J65</f>
        <v>6887884812</v>
      </c>
      <c r="K53" s="559">
        <f>'A9-Asset'!K65</f>
        <v>7074318219</v>
      </c>
      <c r="L53" s="370"/>
    </row>
    <row r="54" spans="1:12" ht="11.25" customHeight="1" x14ac:dyDescent="0.25">
      <c r="A54" s="1165" t="str">
        <f>'A9-Asset'!A68</f>
        <v>Depreciation &amp; asset impairment</v>
      </c>
      <c r="B54" s="1130">
        <f>'A9-Asset'!C68</f>
        <v>124066562</v>
      </c>
      <c r="C54" s="207">
        <f>'A9-Asset'!D68</f>
        <v>253513339</v>
      </c>
      <c r="D54" s="558">
        <f>'A9-Asset'!E68</f>
        <v>273650196</v>
      </c>
      <c r="E54" s="211">
        <f>'A9-Asset'!F68</f>
        <v>158000000</v>
      </c>
      <c r="F54" s="207">
        <f>'A9-Asset'!G68</f>
        <v>158000000</v>
      </c>
      <c r="G54" s="559">
        <f>'A9-Asset'!H68</f>
        <v>158000000</v>
      </c>
      <c r="H54" s="210">
        <f>'A9-Asset'!I68</f>
        <v>189600000</v>
      </c>
      <c r="I54" s="211">
        <f>'A9-Asset'!I68</f>
        <v>189600000</v>
      </c>
      <c r="J54" s="207">
        <f>'A9-Asset'!J68</f>
        <v>227520000</v>
      </c>
      <c r="K54" s="559">
        <f>'A9-Asset'!K68</f>
        <v>273024000</v>
      </c>
      <c r="L54" s="370"/>
    </row>
    <row r="55" spans="1:12" ht="11.25" customHeight="1" x14ac:dyDescent="0.25">
      <c r="A55" s="1165" t="s">
        <v>443</v>
      </c>
      <c r="B55" s="1130">
        <f>'A9-Asset'!C20</f>
        <v>95810000</v>
      </c>
      <c r="C55" s="207">
        <f>'A9-Asset'!D20</f>
        <v>88821854.060000002</v>
      </c>
      <c r="D55" s="558">
        <f>'A9-Asset'!E20</f>
        <v>0</v>
      </c>
      <c r="E55" s="211">
        <f>'A9-Asset'!F20</f>
        <v>119911590</v>
      </c>
      <c r="F55" s="207">
        <f>'A9-Asset'!G20</f>
        <v>174102674</v>
      </c>
      <c r="G55" s="559">
        <f>'A9-Asset'!H20</f>
        <v>174102674</v>
      </c>
      <c r="H55" s="210">
        <f>'A9-Asset'!H20</f>
        <v>174102674</v>
      </c>
      <c r="I55" s="211">
        <f>'A9-Asset'!I20</f>
        <v>287608405</v>
      </c>
      <c r="J55" s="207">
        <f>'A9-Asset'!J20</f>
        <v>187929000</v>
      </c>
      <c r="K55" s="559">
        <f>'A9-Asset'!K20</f>
        <v>190400000</v>
      </c>
      <c r="L55" s="370"/>
    </row>
    <row r="56" spans="1:12" ht="11.25" customHeight="1" x14ac:dyDescent="0.25">
      <c r="A56" s="1165" t="s">
        <v>444</v>
      </c>
      <c r="B56" s="1130">
        <f>'A9-Asset'!C69</f>
        <v>118193522</v>
      </c>
      <c r="C56" s="207">
        <f>'A9-Asset'!D69</f>
        <v>65647837</v>
      </c>
      <c r="D56" s="558">
        <f>'A9-Asset'!E69</f>
        <v>39509687</v>
      </c>
      <c r="E56" s="211">
        <f>'A9-Asset'!F69</f>
        <v>89185350</v>
      </c>
      <c r="F56" s="207">
        <f>'A9-Asset'!G69</f>
        <v>89288289</v>
      </c>
      <c r="G56" s="559">
        <f>'A9-Asset'!H69</f>
        <v>89288472</v>
      </c>
      <c r="H56" s="210">
        <f>'A9-Asset'!I69</f>
        <v>95313927</v>
      </c>
      <c r="I56" s="211">
        <f>'A9-Asset'!I69</f>
        <v>95313927</v>
      </c>
      <c r="J56" s="207">
        <f>'A9-Asset'!J69</f>
        <v>99642784</v>
      </c>
      <c r="K56" s="559">
        <f>'A9-Asset'!K69</f>
        <v>130802463</v>
      </c>
      <c r="L56" s="370"/>
    </row>
    <row r="57" spans="1:12" ht="5.15" customHeight="1" x14ac:dyDescent="0.25">
      <c r="A57" s="1166"/>
      <c r="B57" s="917"/>
      <c r="C57" s="915"/>
      <c r="D57" s="916"/>
      <c r="E57" s="917"/>
      <c r="F57" s="915"/>
      <c r="G57" s="916"/>
      <c r="H57" s="918"/>
      <c r="I57" s="917"/>
      <c r="J57" s="915"/>
      <c r="K57" s="916"/>
      <c r="L57" s="370"/>
    </row>
    <row r="58" spans="1:12" ht="11.25" customHeight="1" x14ac:dyDescent="0.25">
      <c r="A58" s="1164" t="s">
        <v>809</v>
      </c>
      <c r="B58" s="158"/>
      <c r="C58" s="159"/>
      <c r="D58" s="160"/>
      <c r="E58" s="158"/>
      <c r="F58" s="159"/>
      <c r="G58" s="160"/>
      <c r="H58" s="161"/>
      <c r="I58" s="162"/>
      <c r="J58" s="163"/>
      <c r="K58" s="164"/>
      <c r="L58" s="370"/>
    </row>
    <row r="59" spans="1:12" ht="11.25" customHeight="1" x14ac:dyDescent="0.25">
      <c r="A59" s="1529" t="s">
        <v>811</v>
      </c>
      <c r="B59" s="1130">
        <f>'A10-SerDel'!C59</f>
        <v>39245279</v>
      </c>
      <c r="C59" s="207">
        <f>'A10-SerDel'!D59</f>
        <v>0</v>
      </c>
      <c r="D59" s="558">
        <f>'A10-SerDel'!E59</f>
        <v>0</v>
      </c>
      <c r="E59" s="211">
        <f>'A10-SerDel'!F59</f>
        <v>0</v>
      </c>
      <c r="F59" s="207">
        <f>'A10-SerDel'!G59</f>
        <v>0</v>
      </c>
      <c r="G59" s="559">
        <f>'A10-SerDel'!H59</f>
        <v>0</v>
      </c>
      <c r="H59" s="210">
        <f>'A10-SerDel'!I59</f>
        <v>0</v>
      </c>
      <c r="I59" s="211">
        <f>'A10-SerDel'!I59</f>
        <v>0</v>
      </c>
      <c r="J59" s="207">
        <f>'A10-SerDel'!J59</f>
        <v>0</v>
      </c>
      <c r="K59" s="559">
        <f>'A10-SerDel'!K59</f>
        <v>0</v>
      </c>
      <c r="L59" s="370"/>
    </row>
    <row r="60" spans="1:12" ht="11.25" customHeight="1" x14ac:dyDescent="0.25">
      <c r="A60" s="1529" t="s">
        <v>496</v>
      </c>
      <c r="B60" s="1130">
        <f>'A10-SerDel'!C78</f>
        <v>71326155</v>
      </c>
      <c r="C60" s="207">
        <f>'A10-SerDel'!D78</f>
        <v>267210613</v>
      </c>
      <c r="D60" s="558">
        <f>'A10-SerDel'!E78</f>
        <v>0</v>
      </c>
      <c r="E60" s="211">
        <f>'A10-SerDel'!F78</f>
        <v>338903000</v>
      </c>
      <c r="F60" s="207">
        <f>'A10-SerDel'!G78</f>
        <v>338903000</v>
      </c>
      <c r="G60" s="559">
        <f>'A10-SerDel'!H78</f>
        <v>338903000</v>
      </c>
      <c r="H60" s="210">
        <f>'A10-SerDel'!I78</f>
        <v>363502000</v>
      </c>
      <c r="I60" s="211">
        <f>'A10-SerDel'!I78</f>
        <v>363502000</v>
      </c>
      <c r="J60" s="207">
        <f>'A10-SerDel'!J78</f>
        <v>391259000</v>
      </c>
      <c r="K60" s="559">
        <f>'A10-SerDel'!K78</f>
        <v>420337232</v>
      </c>
      <c r="L60" s="370"/>
    </row>
    <row r="61" spans="1:12" ht="11.25" customHeight="1" x14ac:dyDescent="0.25">
      <c r="A61" s="1531" t="s">
        <v>810</v>
      </c>
      <c r="B61" s="162"/>
      <c r="C61" s="163"/>
      <c r="D61" s="164"/>
      <c r="E61" s="162"/>
      <c r="F61" s="163"/>
      <c r="G61" s="164"/>
      <c r="H61" s="611"/>
      <c r="I61" s="162"/>
      <c r="J61" s="163"/>
      <c r="K61" s="164"/>
      <c r="L61" s="370"/>
    </row>
    <row r="62" spans="1:12" ht="11.25" customHeight="1" x14ac:dyDescent="0.25">
      <c r="A62" s="1347" t="str">
        <f>'A10-SerDel'!A5</f>
        <v>Water:</v>
      </c>
      <c r="B62" s="258">
        <f>'A10-SerDel'!C14</f>
        <v>2006</v>
      </c>
      <c r="C62" s="256">
        <f>'A10-SerDel'!D14</f>
        <v>0</v>
      </c>
      <c r="D62" s="262">
        <f>'A10-SerDel'!E14</f>
        <v>6396</v>
      </c>
      <c r="E62" s="258">
        <f>'A10-SerDel'!F14</f>
        <v>0</v>
      </c>
      <c r="F62" s="256">
        <f>'A10-SerDel'!G14</f>
        <v>0</v>
      </c>
      <c r="G62" s="262">
        <f>'A10-SerDel'!H14</f>
        <v>6396</v>
      </c>
      <c r="H62" s="261">
        <f>'A10-SerDel'!I14</f>
        <v>0</v>
      </c>
      <c r="I62" s="258">
        <f>'A10-SerDel'!I14</f>
        <v>0</v>
      </c>
      <c r="J62" s="256">
        <f>'A10-SerDel'!J14</f>
        <v>0</v>
      </c>
      <c r="K62" s="262">
        <f>'A10-SerDel'!K14</f>
        <v>0</v>
      </c>
      <c r="L62" s="370"/>
    </row>
    <row r="63" spans="1:12" ht="11.25" customHeight="1" x14ac:dyDescent="0.25">
      <c r="A63" s="1347" t="str">
        <f>'A10-SerDel'!A16</f>
        <v>Sanitation/sewerage:</v>
      </c>
      <c r="B63" s="258">
        <f>'A10-SerDel'!C26</f>
        <v>0</v>
      </c>
      <c r="C63" s="256">
        <f>'A10-SerDel'!D26</f>
        <v>0</v>
      </c>
      <c r="D63" s="262">
        <f>'A10-SerDel'!E26</f>
        <v>4901</v>
      </c>
      <c r="E63" s="258">
        <f>'A10-SerDel'!F26</f>
        <v>0</v>
      </c>
      <c r="F63" s="256">
        <f>'A10-SerDel'!G26</f>
        <v>0</v>
      </c>
      <c r="G63" s="262">
        <f>'A10-SerDel'!H26</f>
        <v>0</v>
      </c>
      <c r="H63" s="261">
        <f>'A10-SerDel'!I26</f>
        <v>0</v>
      </c>
      <c r="I63" s="258">
        <f>'A10-SerDel'!I26</f>
        <v>0</v>
      </c>
      <c r="J63" s="256">
        <f>'A10-SerDel'!J26</f>
        <v>0</v>
      </c>
      <c r="K63" s="262">
        <f>'A10-SerDel'!K26</f>
        <v>0</v>
      </c>
      <c r="L63" s="370"/>
    </row>
    <row r="64" spans="1:12" ht="11.25" customHeight="1" x14ac:dyDescent="0.25">
      <c r="A64" s="1347" t="str">
        <f>'A10-SerDel'!A28</f>
        <v>Energy:</v>
      </c>
      <c r="B64" s="258">
        <f>'A10-SerDel'!C35</f>
        <v>0</v>
      </c>
      <c r="C64" s="256">
        <f>'A10-SerDel'!D35</f>
        <v>0</v>
      </c>
      <c r="D64" s="262">
        <f>'A10-SerDel'!E35</f>
        <v>0</v>
      </c>
      <c r="E64" s="258">
        <f>'A10-SerDel'!F35</f>
        <v>0</v>
      </c>
      <c r="F64" s="256">
        <f>'A10-SerDel'!G35</f>
        <v>0</v>
      </c>
      <c r="G64" s="262">
        <f>'A10-SerDel'!H35</f>
        <v>0</v>
      </c>
      <c r="H64" s="261">
        <f>'A10-SerDel'!I35</f>
        <v>0</v>
      </c>
      <c r="I64" s="258">
        <f>'A10-SerDel'!I35</f>
        <v>0</v>
      </c>
      <c r="J64" s="256">
        <f>'A10-SerDel'!J35</f>
        <v>0</v>
      </c>
      <c r="K64" s="262">
        <f>'A10-SerDel'!K35</f>
        <v>0</v>
      </c>
      <c r="L64" s="370"/>
    </row>
    <row r="65" spans="1:12" ht="11.25" customHeight="1" x14ac:dyDescent="0.25">
      <c r="A65" s="1347" t="str">
        <f>'A10-SerDel'!A37</f>
        <v>Refuse:</v>
      </c>
      <c r="B65" s="258">
        <f>'A10-SerDel'!C45</f>
        <v>58222.5</v>
      </c>
      <c r="C65" s="256">
        <f>'A10-SerDel'!D45</f>
        <v>54090</v>
      </c>
      <c r="D65" s="262">
        <f>'A10-SerDel'!E45</f>
        <v>0</v>
      </c>
      <c r="E65" s="258">
        <f>'A10-SerDel'!F45</f>
        <v>74000</v>
      </c>
      <c r="F65" s="256">
        <f>'A10-SerDel'!G45</f>
        <v>74000</v>
      </c>
      <c r="G65" s="262">
        <f>'A10-SerDel'!H45</f>
        <v>74000</v>
      </c>
      <c r="H65" s="261">
        <f>'A10-SerDel'!I45</f>
        <v>54090</v>
      </c>
      <c r="I65" s="258">
        <f>'A10-SerDel'!I45</f>
        <v>54090</v>
      </c>
      <c r="J65" s="256">
        <f>'A10-SerDel'!J45</f>
        <v>34000</v>
      </c>
      <c r="K65" s="262">
        <f>'A10-SerDel'!K45</f>
        <v>19800</v>
      </c>
      <c r="L65" s="370"/>
    </row>
    <row r="66" spans="1:12" ht="5.15" customHeight="1" x14ac:dyDescent="0.25">
      <c r="A66" s="1166"/>
      <c r="B66" s="917"/>
      <c r="C66" s="915"/>
      <c r="D66" s="916"/>
      <c r="E66" s="917"/>
      <c r="F66" s="915"/>
      <c r="G66" s="916"/>
      <c r="H66" s="918"/>
      <c r="I66" s="917"/>
      <c r="J66" s="915"/>
      <c r="K66" s="916"/>
      <c r="L66" s="370"/>
    </row>
    <row r="67" spans="1:12" ht="4.5" customHeight="1" x14ac:dyDescent="0.25">
      <c r="A67" s="246"/>
      <c r="B67" s="161"/>
      <c r="C67" s="161"/>
      <c r="D67" s="161"/>
      <c r="E67" s="161"/>
      <c r="F67" s="161"/>
      <c r="G67" s="161"/>
      <c r="H67" s="161"/>
      <c r="I67" s="161"/>
      <c r="J67" s="161"/>
      <c r="K67" s="161"/>
    </row>
    <row r="68" spans="1:12" x14ac:dyDescent="0.25">
      <c r="A68" s="178"/>
      <c r="B68" s="178"/>
      <c r="C68" s="178"/>
      <c r="D68" s="178"/>
      <c r="E68" s="178"/>
      <c r="F68" s="178"/>
      <c r="G68" s="178"/>
      <c r="H68" s="178"/>
      <c r="I68" s="178"/>
      <c r="J68" s="178"/>
      <c r="K68" s="178"/>
    </row>
  </sheetData>
  <sheetProtection password="C646" sheet="1" objects="1" scenarios="1"/>
  <mergeCells count="3">
    <mergeCell ref="I2:K2"/>
    <mergeCell ref="E2:H2"/>
    <mergeCell ref="A1:C1"/>
  </mergeCells>
  <phoneticPr fontId="2" type="noConversion"/>
  <printOptions horizontalCentered="1"/>
  <pageMargins left="0.35433070866141736" right="0.19685039370078741" top="0.78740157480314965" bottom="0.59055118110236227" header="0.51181102362204722" footer="0.39370078740157483"/>
  <pageSetup paperSize="9" scale="6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4"/>
    <pageSetUpPr fitToPage="1"/>
  </sheetPr>
  <dimension ref="A1:R92"/>
  <sheetViews>
    <sheetView showGridLines="0" view="pageBreakPreview" zoomScaleNormal="100" zoomScaleSheetLayoutView="100" workbookViewId="0">
      <pane xSplit="2" ySplit="3" topLeftCell="C40" activePane="bottomRight" state="frozen"/>
      <selection pane="topRight"/>
      <selection pane="bottomLeft"/>
      <selection pane="bottomRight" activeCell="H60" sqref="H60"/>
    </sheetView>
  </sheetViews>
  <sheetFormatPr defaultColWidth="9.1796875" defaultRowHeight="10.5" x14ac:dyDescent="0.25"/>
  <cols>
    <col min="1" max="1" width="30.7265625" style="149" customWidth="1"/>
    <col min="2" max="2" width="3" style="247" customWidth="1"/>
    <col min="3" max="11" width="9.26953125" style="149" customWidth="1"/>
    <col min="12" max="41" width="9.54296875" style="149" customWidth="1"/>
    <col min="42" max="16384" width="9.1796875" style="149"/>
  </cols>
  <sheetData>
    <row r="1" spans="1:18" ht="13" x14ac:dyDescent="0.3">
      <c r="A1" s="147" t="str">
        <f>muni&amp;" - "&amp;Approve3</f>
        <v>KZN225 Msunduzi - Table A2 Consolidated Budgeted Financial Performance (revenue and expenditure by standard classification)</v>
      </c>
      <c r="B1" s="248"/>
      <c r="C1" s="248"/>
      <c r="D1" s="248"/>
      <c r="E1" s="248"/>
      <c r="F1" s="248"/>
      <c r="G1" s="248"/>
      <c r="H1" s="248"/>
      <c r="I1" s="248"/>
      <c r="J1" s="248"/>
      <c r="K1" s="248"/>
    </row>
    <row r="2" spans="1:18" ht="28.5" customHeight="1" x14ac:dyDescent="0.25">
      <c r="A2" s="975" t="str">
        <f>"Standard Classification "&amp;desc</f>
        <v>Standard Classification Description</v>
      </c>
      <c r="B2" s="419" t="str">
        <f>head27</f>
        <v>Ref</v>
      </c>
      <c r="C2" s="150" t="str">
        <f>head1b</f>
        <v>2009/10</v>
      </c>
      <c r="D2" s="150" t="str">
        <f>head1A</f>
        <v>2010/11</v>
      </c>
      <c r="E2" s="146" t="str">
        <f>Head1</f>
        <v>2011/12</v>
      </c>
      <c r="F2" s="2677" t="str">
        <f>Head2</f>
        <v>Current Year 2012/13</v>
      </c>
      <c r="G2" s="2678"/>
      <c r="H2" s="2682"/>
      <c r="I2" s="2674" t="str">
        <f>Head3</f>
        <v>2013/14 Medium Term Revenue &amp; Expenditure Framework</v>
      </c>
      <c r="J2" s="2675"/>
      <c r="K2" s="2676"/>
    </row>
    <row r="3" spans="1:18" ht="21" x14ac:dyDescent="0.25">
      <c r="A3" s="180" t="s">
        <v>665</v>
      </c>
      <c r="B3" s="986">
        <v>1</v>
      </c>
      <c r="C3" s="390" t="str">
        <f>Head5</f>
        <v>Audited Outcome</v>
      </c>
      <c r="D3" s="390" t="str">
        <f>Head5</f>
        <v>Audited Outcome</v>
      </c>
      <c r="E3" s="391" t="str">
        <f>Head5</f>
        <v>Audited Outcome</v>
      </c>
      <c r="F3" s="299" t="str">
        <f>Head6</f>
        <v>Original Budget</v>
      </c>
      <c r="G3" s="390" t="str">
        <f>Head7</f>
        <v>Adjusted Budget</v>
      </c>
      <c r="H3" s="391" t="str">
        <f>Head8</f>
        <v>Full Year Forecast</v>
      </c>
      <c r="I3" s="299" t="str">
        <f>Head9</f>
        <v>Budget Year 2013/14</v>
      </c>
      <c r="J3" s="390" t="str">
        <f>Head10</f>
        <v>Budget Year +1 2014/15</v>
      </c>
      <c r="K3" s="391" t="str">
        <f>Head11</f>
        <v>Budget Year +2 2015/16</v>
      </c>
    </row>
    <row r="4" spans="1:18" ht="11.25" customHeight="1" x14ac:dyDescent="0.25">
      <c r="A4" s="249" t="s">
        <v>429</v>
      </c>
      <c r="B4" s="182"/>
      <c r="C4" s="184"/>
      <c r="D4" s="184"/>
      <c r="E4" s="185"/>
      <c r="F4" s="186"/>
      <c r="G4" s="184"/>
      <c r="H4" s="183"/>
      <c r="I4" s="187"/>
      <c r="J4" s="184"/>
      <c r="K4" s="185"/>
      <c r="L4" s="370"/>
    </row>
    <row r="5" spans="1:18" ht="11.25" customHeight="1" x14ac:dyDescent="0.25">
      <c r="A5" s="1270" t="s">
        <v>1128</v>
      </c>
      <c r="B5" s="1187"/>
      <c r="C5" s="1130">
        <f>SUM(C6:C8)</f>
        <v>980034431</v>
      </c>
      <c r="D5" s="1130">
        <f t="shared" ref="D5:K5" si="0">SUM(D6:D8)</f>
        <v>1029257237</v>
      </c>
      <c r="E5" s="1410">
        <f t="shared" si="0"/>
        <v>1119103770.6100001</v>
      </c>
      <c r="F5" s="1134">
        <f t="shared" si="0"/>
        <v>668762575</v>
      </c>
      <c r="G5" s="1130">
        <f t="shared" si="0"/>
        <v>882847908</v>
      </c>
      <c r="H5" s="1411">
        <f t="shared" si="0"/>
        <v>882847908</v>
      </c>
      <c r="I5" s="1412">
        <f t="shared" si="0"/>
        <v>1012505892</v>
      </c>
      <c r="J5" s="1130">
        <f t="shared" si="0"/>
        <v>1093298367</v>
      </c>
      <c r="K5" s="1411">
        <f t="shared" si="0"/>
        <v>1029765188.3124001</v>
      </c>
      <c r="L5" s="370"/>
      <c r="Q5" s="252"/>
      <c r="R5" s="253"/>
    </row>
    <row r="6" spans="1:18" ht="11.25" customHeight="1" x14ac:dyDescent="0.25">
      <c r="A6" s="1271" t="s">
        <v>142</v>
      </c>
      <c r="B6" s="1187"/>
      <c r="C6" s="1063">
        <f>A2A!C6</f>
        <v>464567</v>
      </c>
      <c r="D6" s="1063">
        <f>A2A!D6</f>
        <v>700142</v>
      </c>
      <c r="E6" s="1064">
        <f>A2A!E6</f>
        <v>564023.9</v>
      </c>
      <c r="F6" s="1065">
        <f>A2A!F6</f>
        <v>287184</v>
      </c>
      <c r="G6" s="1063">
        <f>A2A!G6</f>
        <v>1240087</v>
      </c>
      <c r="H6" s="1066">
        <f>A2A!H6</f>
        <v>1240087</v>
      </c>
      <c r="I6" s="1067">
        <f>A2A!I6</f>
        <v>302405</v>
      </c>
      <c r="J6" s="1063">
        <f>A2A!J6</f>
        <v>317223</v>
      </c>
      <c r="K6" s="1064">
        <f>A2A!K6</f>
        <v>0</v>
      </c>
      <c r="L6" s="370"/>
      <c r="Q6" s="252"/>
      <c r="R6" s="253"/>
    </row>
    <row r="7" spans="1:18" ht="11.25" customHeight="1" x14ac:dyDescent="0.25">
      <c r="A7" s="1271" t="s">
        <v>143</v>
      </c>
      <c r="B7" s="1187"/>
      <c r="C7" s="1465">
        <f>A2A!C9</f>
        <v>960907677</v>
      </c>
      <c r="D7" s="1465">
        <f>A2A!D9</f>
        <v>1005928241</v>
      </c>
      <c r="E7" s="1466">
        <f>A2A!E9</f>
        <v>1112184200.6700001</v>
      </c>
      <c r="F7" s="1467">
        <f>A2A!F9</f>
        <v>642449518</v>
      </c>
      <c r="G7" s="1465">
        <f>A2A!G9</f>
        <v>853288136</v>
      </c>
      <c r="H7" s="1468">
        <f>A2A!H9</f>
        <v>853288136</v>
      </c>
      <c r="I7" s="1469">
        <f>A2A!I9</f>
        <v>995543000</v>
      </c>
      <c r="J7" s="1465">
        <f>A2A!J9</f>
        <v>1074422043</v>
      </c>
      <c r="K7" s="1466">
        <f>A2A!K9</f>
        <v>1025696228.0624001</v>
      </c>
      <c r="L7" s="370"/>
      <c r="Q7" s="252"/>
      <c r="R7" s="253"/>
    </row>
    <row r="8" spans="1:18" ht="11.25" customHeight="1" x14ac:dyDescent="0.25">
      <c r="A8" s="1271" t="s">
        <v>144</v>
      </c>
      <c r="B8" s="1187"/>
      <c r="C8" s="1063">
        <f>A2A!C10</f>
        <v>18662187</v>
      </c>
      <c r="D8" s="1063">
        <f>A2A!D10</f>
        <v>22628854</v>
      </c>
      <c r="E8" s="1064">
        <f>A2A!E10</f>
        <v>6355546.0399999991</v>
      </c>
      <c r="F8" s="1065">
        <f>A2A!F10</f>
        <v>26025873</v>
      </c>
      <c r="G8" s="1063">
        <f>A2A!G10</f>
        <v>28319685</v>
      </c>
      <c r="H8" s="1066">
        <f>A2A!H10</f>
        <v>28319685</v>
      </c>
      <c r="I8" s="1067">
        <f>A2A!I10</f>
        <v>16660487</v>
      </c>
      <c r="J8" s="1063">
        <f>A2A!J10</f>
        <v>18559101</v>
      </c>
      <c r="K8" s="1064">
        <f>A2A!K10</f>
        <v>4068960.25</v>
      </c>
      <c r="L8" s="370"/>
      <c r="Q8" s="252"/>
      <c r="R8" s="253"/>
    </row>
    <row r="9" spans="1:18" ht="11.25" customHeight="1" x14ac:dyDescent="0.25">
      <c r="A9" s="1270" t="s">
        <v>145</v>
      </c>
      <c r="B9" s="1187"/>
      <c r="C9" s="1130">
        <f>SUM(C10:C14)</f>
        <v>77867339</v>
      </c>
      <c r="D9" s="1130">
        <f t="shared" ref="D9:K9" si="1">SUM(D10:D14)</f>
        <v>31696852</v>
      </c>
      <c r="E9" s="1131">
        <f t="shared" si="1"/>
        <v>40340261.57</v>
      </c>
      <c r="F9" s="1132">
        <f t="shared" si="1"/>
        <v>26288840.981600001</v>
      </c>
      <c r="G9" s="1130">
        <f t="shared" si="1"/>
        <v>40415595.981600001</v>
      </c>
      <c r="H9" s="1133">
        <f t="shared" si="1"/>
        <v>40415595.981600001</v>
      </c>
      <c r="I9" s="1134">
        <f t="shared" si="1"/>
        <v>32854040.169976</v>
      </c>
      <c r="J9" s="1130">
        <f t="shared" si="1"/>
        <v>34473464.409235574</v>
      </c>
      <c r="K9" s="1131">
        <f t="shared" si="1"/>
        <v>10929202.643722335</v>
      </c>
      <c r="L9" s="370"/>
      <c r="Q9" s="252"/>
      <c r="R9" s="253"/>
    </row>
    <row r="10" spans="1:18" ht="11.25" customHeight="1" x14ac:dyDescent="0.25">
      <c r="A10" s="1271" t="s">
        <v>146</v>
      </c>
      <c r="B10" s="1187"/>
      <c r="C10" s="1063">
        <f>A2A!C16</f>
        <v>5699366</v>
      </c>
      <c r="D10" s="1063">
        <f>A2A!D16</f>
        <v>4658957</v>
      </c>
      <c r="E10" s="1064">
        <f>A2A!E16</f>
        <v>18149578.52</v>
      </c>
      <c r="F10" s="1065">
        <f>A2A!F16</f>
        <v>1527159</v>
      </c>
      <c r="G10" s="1063">
        <f>A2A!G16</f>
        <v>23470113</v>
      </c>
      <c r="H10" s="1066">
        <f>A2A!H16</f>
        <v>23470113</v>
      </c>
      <c r="I10" s="1067">
        <f>A2A!I16</f>
        <v>1630522</v>
      </c>
      <c r="J10" s="1063">
        <f>A2A!J16</f>
        <v>1740780</v>
      </c>
      <c r="K10" s="1064">
        <f>A2A!K16</f>
        <v>2683460.4538162588</v>
      </c>
      <c r="L10" s="370"/>
      <c r="N10" s="370"/>
      <c r="Q10" s="252"/>
      <c r="R10" s="253"/>
    </row>
    <row r="11" spans="1:18" ht="11.25" customHeight="1" x14ac:dyDescent="0.25">
      <c r="A11" s="1271" t="s">
        <v>147</v>
      </c>
      <c r="B11" s="1187"/>
      <c r="C11" s="1063">
        <f>A2A!C25</f>
        <v>901350</v>
      </c>
      <c r="D11" s="1063">
        <f>A2A!D25</f>
        <v>795835</v>
      </c>
      <c r="E11" s="1064">
        <f>A2A!E25</f>
        <v>1971000</v>
      </c>
      <c r="F11" s="1065">
        <f>A2A!F25</f>
        <v>834872</v>
      </c>
      <c r="G11" s="1063">
        <f>A2A!G25</f>
        <v>552285</v>
      </c>
      <c r="H11" s="1066">
        <f>A2A!H25</f>
        <v>552285</v>
      </c>
      <c r="I11" s="1067">
        <f>A2A!I25</f>
        <v>891882</v>
      </c>
      <c r="J11" s="1063">
        <f>A2A!J25</f>
        <v>952864</v>
      </c>
      <c r="K11" s="1064">
        <f>A2A!K25</f>
        <v>34593.409851975004</v>
      </c>
      <c r="L11" s="370"/>
      <c r="Q11" s="252"/>
      <c r="R11" s="253"/>
    </row>
    <row r="12" spans="1:18" ht="11.25" customHeight="1" x14ac:dyDescent="0.25">
      <c r="A12" s="1271" t="s">
        <v>148</v>
      </c>
      <c r="B12" s="1187"/>
      <c r="C12" s="1063">
        <f>A2A!C26</f>
        <v>9563638</v>
      </c>
      <c r="D12" s="1063">
        <f>A2A!D26</f>
        <v>9144980</v>
      </c>
      <c r="E12" s="1064">
        <f>A2A!E26</f>
        <v>5451000</v>
      </c>
      <c r="F12" s="1065">
        <f>A2A!F26</f>
        <v>6631015.9815999996</v>
      </c>
      <c r="G12" s="1063">
        <f>A2A!G26</f>
        <v>7165813.9815999996</v>
      </c>
      <c r="H12" s="1066">
        <f>A2A!H26</f>
        <v>7165813.9815999996</v>
      </c>
      <c r="I12" s="1067">
        <f>A2A!I26</f>
        <v>26998052.579392001</v>
      </c>
      <c r="J12" s="1063">
        <f>A2A!J26</f>
        <v>28411632.304712959</v>
      </c>
      <c r="K12" s="1064">
        <f>A2A!K26</f>
        <v>8132804.7800541017</v>
      </c>
      <c r="L12" s="370"/>
      <c r="Q12" s="252"/>
      <c r="R12" s="253"/>
    </row>
    <row r="13" spans="1:18" ht="11.25" customHeight="1" x14ac:dyDescent="0.25">
      <c r="A13" s="1271" t="s">
        <v>1707</v>
      </c>
      <c r="B13" s="1187"/>
      <c r="C13" s="1063">
        <f>A2A!C32</f>
        <v>50923742</v>
      </c>
      <c r="D13" s="1063">
        <f>A2A!D32</f>
        <v>4485317</v>
      </c>
      <c r="E13" s="1064">
        <f>A2A!E32</f>
        <v>4123279.47</v>
      </c>
      <c r="F13" s="1065">
        <f>A2A!F32</f>
        <v>14663836</v>
      </c>
      <c r="G13" s="1063">
        <f>A2A!G32</f>
        <v>4121394</v>
      </c>
      <c r="H13" s="1066">
        <f>A2A!H32</f>
        <v>4121394</v>
      </c>
      <c r="I13" s="1067">
        <f>A2A!I32</f>
        <v>3232700</v>
      </c>
      <c r="J13" s="1063">
        <f>A2A!J32</f>
        <v>3259903</v>
      </c>
      <c r="K13" s="1064">
        <f>A2A!K32</f>
        <v>76694</v>
      </c>
      <c r="L13" s="370"/>
      <c r="Q13" s="252"/>
      <c r="R13" s="253"/>
    </row>
    <row r="14" spans="1:18" ht="11.25" customHeight="1" x14ac:dyDescent="0.25">
      <c r="A14" s="1271" t="s">
        <v>1786</v>
      </c>
      <c r="B14" s="1187"/>
      <c r="C14" s="1465">
        <f>A2A!C33</f>
        <v>10779243</v>
      </c>
      <c r="D14" s="1465">
        <f>A2A!D33</f>
        <v>12611763</v>
      </c>
      <c r="E14" s="1466">
        <f>A2A!E33</f>
        <v>10645403.58</v>
      </c>
      <c r="F14" s="1467">
        <f>A2A!F33</f>
        <v>2631958</v>
      </c>
      <c r="G14" s="1465">
        <f>A2A!G33</f>
        <v>5105990</v>
      </c>
      <c r="H14" s="1468">
        <f>A2A!H33</f>
        <v>5105990</v>
      </c>
      <c r="I14" s="1469">
        <f>A2A!I33</f>
        <v>100883.59058400001</v>
      </c>
      <c r="J14" s="1465">
        <f>A2A!J33</f>
        <v>108285.10452261599</v>
      </c>
      <c r="K14" s="1466">
        <f>A2A!K33</f>
        <v>1650</v>
      </c>
      <c r="L14" s="370"/>
      <c r="Q14" s="252"/>
      <c r="R14" s="253"/>
    </row>
    <row r="15" spans="1:18" ht="11.25" customHeight="1" x14ac:dyDescent="0.25">
      <c r="A15" s="1270" t="s">
        <v>149</v>
      </c>
      <c r="B15" s="1129"/>
      <c r="C15" s="1130">
        <f>SUM(C16:C18)</f>
        <v>25601178</v>
      </c>
      <c r="D15" s="1130">
        <f t="shared" ref="D15:K15" si="2">SUM(D16:D18)</f>
        <v>34364135</v>
      </c>
      <c r="E15" s="1131">
        <f t="shared" si="2"/>
        <v>107703550.20999998</v>
      </c>
      <c r="F15" s="1132">
        <f t="shared" si="2"/>
        <v>5721498.3266666662</v>
      </c>
      <c r="G15" s="1130">
        <f t="shared" si="2"/>
        <v>73573493.326666668</v>
      </c>
      <c r="H15" s="1133">
        <f t="shared" si="2"/>
        <v>73573493.326666668</v>
      </c>
      <c r="I15" s="1134">
        <f t="shared" si="2"/>
        <v>5349769.1838973332</v>
      </c>
      <c r="J15" s="1130">
        <f t="shared" si="2"/>
        <v>6444902.9791217428</v>
      </c>
      <c r="K15" s="1131">
        <f t="shared" si="2"/>
        <v>15521385.282752201</v>
      </c>
      <c r="L15" s="370"/>
      <c r="Q15" s="252"/>
      <c r="R15" s="253"/>
    </row>
    <row r="16" spans="1:18" ht="11.25" customHeight="1" x14ac:dyDescent="0.25">
      <c r="A16" s="1271" t="s">
        <v>150</v>
      </c>
      <c r="B16" s="1187"/>
      <c r="C16" s="1063">
        <f>A2A!C38</f>
        <v>10810786</v>
      </c>
      <c r="D16" s="1063">
        <f>A2A!D38</f>
        <v>5440729</v>
      </c>
      <c r="E16" s="1064">
        <f>A2A!E38</f>
        <v>40593407.229999997</v>
      </c>
      <c r="F16" s="1065">
        <f>A2A!F38</f>
        <v>4788358</v>
      </c>
      <c r="G16" s="1063">
        <f>A2A!G38</f>
        <v>18097952</v>
      </c>
      <c r="H16" s="1066">
        <f>A2A!H38</f>
        <v>18097952</v>
      </c>
      <c r="I16" s="1067">
        <f>A2A!I38</f>
        <v>4342171</v>
      </c>
      <c r="J16" s="1063">
        <f>A2A!J38</f>
        <v>5354081</v>
      </c>
      <c r="K16" s="1064">
        <f>A2A!K38</f>
        <v>15026219.282752201</v>
      </c>
      <c r="L16" s="370"/>
      <c r="Q16" s="252"/>
      <c r="R16" s="253"/>
    </row>
    <row r="17" spans="1:18" ht="11.25" customHeight="1" x14ac:dyDescent="0.25">
      <c r="A17" s="1271" t="s">
        <v>151</v>
      </c>
      <c r="B17" s="1187"/>
      <c r="C17" s="1063">
        <f>A2A!C42</f>
        <v>14790392</v>
      </c>
      <c r="D17" s="1063">
        <f>A2A!D42</f>
        <v>28923406</v>
      </c>
      <c r="E17" s="1064">
        <f>A2A!E42</f>
        <v>67110142.979999989</v>
      </c>
      <c r="F17" s="1065">
        <f>A2A!F42</f>
        <v>933140.32666666643</v>
      </c>
      <c r="G17" s="1063">
        <f>A2A!G42</f>
        <v>55475541.326666668</v>
      </c>
      <c r="H17" s="1066">
        <f>A2A!H42</f>
        <v>55475541.326666668</v>
      </c>
      <c r="I17" s="1067">
        <f>A2A!I42</f>
        <v>1007598.183897333</v>
      </c>
      <c r="J17" s="1063">
        <f>A2A!J42</f>
        <v>1090821.9791217423</v>
      </c>
      <c r="K17" s="1064">
        <f>A2A!K42</f>
        <v>495166</v>
      </c>
      <c r="L17" s="370"/>
      <c r="Q17" s="252"/>
      <c r="R17" s="253"/>
    </row>
    <row r="18" spans="1:18" ht="11.25" customHeight="1" x14ac:dyDescent="0.25">
      <c r="A18" s="1271" t="s">
        <v>152</v>
      </c>
      <c r="B18" s="1187"/>
      <c r="C18" s="1063">
        <f>A2A!C48</f>
        <v>0</v>
      </c>
      <c r="D18" s="1063">
        <f>A2A!D48</f>
        <v>0</v>
      </c>
      <c r="E18" s="1064">
        <f>A2A!E48</f>
        <v>0</v>
      </c>
      <c r="F18" s="1065">
        <f>A2A!F48</f>
        <v>0</v>
      </c>
      <c r="G18" s="1063">
        <f>A2A!G48</f>
        <v>0</v>
      </c>
      <c r="H18" s="1066">
        <f>A2A!H48</f>
        <v>0</v>
      </c>
      <c r="I18" s="1067">
        <f>A2A!I48</f>
        <v>0</v>
      </c>
      <c r="J18" s="1063">
        <f>A2A!J48</f>
        <v>0</v>
      </c>
      <c r="K18" s="1064">
        <f>A2A!K48</f>
        <v>0</v>
      </c>
      <c r="L18" s="370"/>
      <c r="Q18" s="252"/>
      <c r="R18" s="253"/>
    </row>
    <row r="19" spans="1:18" ht="11.25" customHeight="1" x14ac:dyDescent="0.25">
      <c r="A19" s="1270" t="s">
        <v>153</v>
      </c>
      <c r="B19" s="1129"/>
      <c r="C19" s="1130">
        <f>SUM(C20:C23)</f>
        <v>1462671512</v>
      </c>
      <c r="D19" s="1130">
        <f t="shared" ref="D19:K19" si="3">SUM(D20:D23)</f>
        <v>1762600060</v>
      </c>
      <c r="E19" s="1131">
        <f t="shared" si="3"/>
        <v>1591447727.6399999</v>
      </c>
      <c r="F19" s="1132">
        <f t="shared" si="3"/>
        <v>2268707502</v>
      </c>
      <c r="G19" s="1130">
        <f t="shared" si="3"/>
        <v>2122114132</v>
      </c>
      <c r="H19" s="1133">
        <f t="shared" si="3"/>
        <v>2122114132</v>
      </c>
      <c r="I19" s="1134">
        <f t="shared" si="3"/>
        <v>2263173334.6158814</v>
      </c>
      <c r="J19" s="1130">
        <f>SUM(J20:J23)</f>
        <v>2507784559.1600595</v>
      </c>
      <c r="K19" s="1131">
        <f t="shared" si="3"/>
        <v>2903198698.265336</v>
      </c>
      <c r="L19" s="370"/>
      <c r="Q19" s="252"/>
      <c r="R19" s="253"/>
    </row>
    <row r="20" spans="1:18" ht="11.25" customHeight="1" x14ac:dyDescent="0.25">
      <c r="A20" s="1271" t="s">
        <v>652</v>
      </c>
      <c r="B20" s="1187"/>
      <c r="C20" s="1063">
        <f>A2A!C53</f>
        <v>945257013</v>
      </c>
      <c r="D20" s="1063">
        <f>A2A!D53</f>
        <v>1069468178</v>
      </c>
      <c r="E20" s="1064">
        <f>A2A!E53</f>
        <v>822781273.13000011</v>
      </c>
      <c r="F20" s="1065">
        <f>A2A!F53</f>
        <v>1557285281</v>
      </c>
      <c r="G20" s="1063">
        <f>A2A!G53</f>
        <v>1445524810</v>
      </c>
      <c r="H20" s="1066">
        <f>A2A!H53</f>
        <v>1445524810</v>
      </c>
      <c r="I20" s="1067">
        <f>A2A!I53</f>
        <v>1640104707</v>
      </c>
      <c r="J20" s="1063">
        <f>A2A!J53</f>
        <v>1880590000</v>
      </c>
      <c r="K20" s="1064">
        <f>A2A!K53</f>
        <v>2241937933</v>
      </c>
      <c r="L20" s="370"/>
      <c r="Q20" s="252"/>
      <c r="R20" s="253"/>
    </row>
    <row r="21" spans="1:18" ht="11.25" customHeight="1" x14ac:dyDescent="0.25">
      <c r="A21" s="1271" t="s">
        <v>953</v>
      </c>
      <c r="B21" s="1187"/>
      <c r="C21" s="1063">
        <f>A2A!C56</f>
        <v>307000520</v>
      </c>
      <c r="D21" s="1063">
        <f>A2A!D56</f>
        <v>473548549</v>
      </c>
      <c r="E21" s="1064">
        <f>A2A!E56</f>
        <v>508027515.88999993</v>
      </c>
      <c r="F21" s="1065">
        <f>A2A!F56</f>
        <v>398569194</v>
      </c>
      <c r="G21" s="1063">
        <f>A2A!G56</f>
        <v>452682346</v>
      </c>
      <c r="H21" s="1066">
        <f>A2A!H56</f>
        <v>452682346</v>
      </c>
      <c r="I21" s="1067">
        <f>A2A!I56</f>
        <v>392974307</v>
      </c>
      <c r="J21" s="1063">
        <f>A2A!J56</f>
        <v>383327344.148</v>
      </c>
      <c r="K21" s="1064">
        <f>A2A!K56</f>
        <v>411585779</v>
      </c>
      <c r="L21" s="370"/>
      <c r="Q21" s="252"/>
      <c r="R21" s="253"/>
    </row>
    <row r="22" spans="1:18" ht="11.25" customHeight="1" x14ac:dyDescent="0.25">
      <c r="A22" s="1271" t="s">
        <v>1130</v>
      </c>
      <c r="B22" s="1187"/>
      <c r="C22" s="1465">
        <f>A2A!C59</f>
        <v>144854613</v>
      </c>
      <c r="D22" s="1465">
        <f>A2A!D59</f>
        <v>142223403</v>
      </c>
      <c r="E22" s="1466">
        <f>A2A!E59</f>
        <v>170204525</v>
      </c>
      <c r="F22" s="1467">
        <f>A2A!F59</f>
        <v>174131929</v>
      </c>
      <c r="G22" s="1465">
        <f>A2A!G59</f>
        <v>138096858</v>
      </c>
      <c r="H22" s="1468">
        <f>A2A!H59</f>
        <v>138096858</v>
      </c>
      <c r="I22" s="1469">
        <f>A2A!I59</f>
        <v>144974416.61588159</v>
      </c>
      <c r="J22" s="1465">
        <f>A2A!J59</f>
        <v>148808351.01205981</v>
      </c>
      <c r="K22" s="1466">
        <f>A2A!K59</f>
        <v>151784000</v>
      </c>
      <c r="L22" s="370"/>
      <c r="Q22" s="252"/>
      <c r="R22" s="253"/>
    </row>
    <row r="23" spans="1:18" ht="11.25" customHeight="1" x14ac:dyDescent="0.25">
      <c r="A23" s="1271" t="s">
        <v>1131</v>
      </c>
      <c r="B23" s="1187"/>
      <c r="C23" s="1063">
        <f>A2A!C63</f>
        <v>65559366</v>
      </c>
      <c r="D23" s="1063">
        <f>A2A!D63</f>
        <v>77359930</v>
      </c>
      <c r="E23" s="1064">
        <f>A2A!E63</f>
        <v>90434413.620000005</v>
      </c>
      <c r="F23" s="1065">
        <f>A2A!F63</f>
        <v>138721098</v>
      </c>
      <c r="G23" s="1063">
        <f>A2A!G63</f>
        <v>85810118</v>
      </c>
      <c r="H23" s="1066">
        <f>A2A!H63</f>
        <v>85810118</v>
      </c>
      <c r="I23" s="1067">
        <f>A2A!I63</f>
        <v>85119904</v>
      </c>
      <c r="J23" s="1063">
        <f>A2A!J63</f>
        <v>95058864</v>
      </c>
      <c r="K23" s="1064">
        <f>A2A!K63</f>
        <v>97890986.265336022</v>
      </c>
      <c r="L23" s="370"/>
      <c r="Q23" s="252"/>
      <c r="R23" s="253"/>
    </row>
    <row r="24" spans="1:18" ht="11.25" customHeight="1" x14ac:dyDescent="0.25">
      <c r="A24" s="1270" t="s">
        <v>292</v>
      </c>
      <c r="B24" s="1129">
        <v>4</v>
      </c>
      <c r="C24" s="1130">
        <f>A2A!C65</f>
        <v>29661732</v>
      </c>
      <c r="D24" s="1130">
        <f>A2A!D65</f>
        <v>44062349</v>
      </c>
      <c r="E24" s="1131">
        <f>A2A!E65</f>
        <v>28968399.120000001</v>
      </c>
      <c r="F24" s="1132">
        <f>A2A!F65</f>
        <v>18309344</v>
      </c>
      <c r="G24" s="1130">
        <f>A2A!G65</f>
        <v>19079660</v>
      </c>
      <c r="H24" s="1133">
        <f>A2A!H65</f>
        <v>19079660</v>
      </c>
      <c r="I24" s="1134">
        <f>A2A!I65</f>
        <v>226530813</v>
      </c>
      <c r="J24" s="1130">
        <f>A2A!J65</f>
        <v>80547835</v>
      </c>
      <c r="K24" s="1131">
        <f>A2A!K65</f>
        <v>94083149</v>
      </c>
      <c r="L24" s="370"/>
      <c r="Q24" s="245"/>
      <c r="R24" s="253"/>
    </row>
    <row r="25" spans="1:18" ht="11.25" customHeight="1" x14ac:dyDescent="0.25">
      <c r="A25" s="1365" t="str">
        <f>"Total "&amp;A4</f>
        <v>Total Revenue - Standard</v>
      </c>
      <c r="B25" s="1366">
        <v>2</v>
      </c>
      <c r="C25" s="813">
        <f>C5+C9+C15+C19+C24</f>
        <v>2575836192</v>
      </c>
      <c r="D25" s="813">
        <f>D5+D9+D15+D19+D24</f>
        <v>2901980633</v>
      </c>
      <c r="E25" s="814">
        <f t="shared" ref="E25:K25" si="4">E5+E9+E15+E19+E24</f>
        <v>2887563709.1499996</v>
      </c>
      <c r="F25" s="815">
        <f t="shared" si="4"/>
        <v>2987789760.3082666</v>
      </c>
      <c r="G25" s="813">
        <f t="shared" si="4"/>
        <v>3138030789.3082666</v>
      </c>
      <c r="H25" s="816">
        <f t="shared" si="4"/>
        <v>3138030789.3082666</v>
      </c>
      <c r="I25" s="1107">
        <f>I5+I9+I15+I19+I24</f>
        <v>3540413848.9697547</v>
      </c>
      <c r="J25" s="813">
        <f t="shared" si="4"/>
        <v>3722549128.5484166</v>
      </c>
      <c r="K25" s="814">
        <f t="shared" si="4"/>
        <v>4053497623.5042105</v>
      </c>
      <c r="L25" s="370"/>
      <c r="Q25" s="271"/>
      <c r="R25" s="272"/>
    </row>
    <row r="26" spans="1:18" ht="5.15" customHeight="1" x14ac:dyDescent="0.25">
      <c r="A26" s="1149"/>
      <c r="B26" s="1187"/>
      <c r="C26" s="207"/>
      <c r="D26" s="207"/>
      <c r="E26" s="264"/>
      <c r="F26" s="251"/>
      <c r="G26" s="207"/>
      <c r="H26" s="210"/>
      <c r="I26" s="211"/>
      <c r="J26" s="207"/>
      <c r="K26" s="264"/>
      <c r="L26" s="370"/>
      <c r="Q26" s="245"/>
    </row>
    <row r="27" spans="1:18" ht="11.25" customHeight="1" x14ac:dyDescent="0.25">
      <c r="A27" s="1128" t="s">
        <v>430</v>
      </c>
      <c r="B27" s="1189"/>
      <c r="C27" s="207"/>
      <c r="D27" s="207"/>
      <c r="E27" s="264"/>
      <c r="F27" s="251"/>
      <c r="G27" s="207"/>
      <c r="H27" s="210"/>
      <c r="I27" s="211"/>
      <c r="J27" s="207"/>
      <c r="K27" s="264"/>
      <c r="L27" s="370"/>
      <c r="Q27" s="245"/>
    </row>
    <row r="28" spans="1:18" ht="11.25" customHeight="1" x14ac:dyDescent="0.25">
      <c r="A28" s="1270" t="str">
        <f>A5</f>
        <v>Governance and administration</v>
      </c>
      <c r="B28" s="1187"/>
      <c r="C28" s="1130">
        <f>SUM(C29:C31)</f>
        <v>514290194</v>
      </c>
      <c r="D28" s="1130">
        <f t="shared" ref="D28:K28" si="5">SUM(D29:D31)</f>
        <v>562610980</v>
      </c>
      <c r="E28" s="1410">
        <f t="shared" si="5"/>
        <v>488014642.32000005</v>
      </c>
      <c r="F28" s="1134">
        <f t="shared" si="5"/>
        <v>547848205</v>
      </c>
      <c r="G28" s="1130">
        <f t="shared" si="5"/>
        <v>475335569</v>
      </c>
      <c r="H28" s="1411">
        <f t="shared" si="5"/>
        <v>475335569</v>
      </c>
      <c r="I28" s="1412">
        <f t="shared" si="5"/>
        <v>727400360</v>
      </c>
      <c r="J28" s="1130">
        <f t="shared" si="5"/>
        <v>741406413</v>
      </c>
      <c r="K28" s="1411">
        <f t="shared" si="5"/>
        <v>678507654</v>
      </c>
      <c r="L28" s="370"/>
    </row>
    <row r="29" spans="1:18" ht="11.25" customHeight="1" x14ac:dyDescent="0.25">
      <c r="A29" s="1271" t="str">
        <f t="shared" ref="A29:A47" si="6">A6</f>
        <v>Executive and council</v>
      </c>
      <c r="B29" s="1187"/>
      <c r="C29" s="1063">
        <f>A2A!C75</f>
        <v>0</v>
      </c>
      <c r="D29" s="1063">
        <f>A2A!D75</f>
        <v>0</v>
      </c>
      <c r="E29" s="1064">
        <f>A2A!E75</f>
        <v>20769.719999998139</v>
      </c>
      <c r="F29" s="1065">
        <f>A2A!F75</f>
        <v>71094465</v>
      </c>
      <c r="G29" s="1063">
        <f>A2A!G75</f>
        <v>71529450</v>
      </c>
      <c r="H29" s="1066">
        <f>A2A!H75</f>
        <v>71529450</v>
      </c>
      <c r="I29" s="1067">
        <f>A2A!I75</f>
        <v>63134426</v>
      </c>
      <c r="J29" s="1063">
        <f>A2A!J75</f>
        <v>66337300</v>
      </c>
      <c r="K29" s="1064">
        <f>A2A!K75</f>
        <v>69711572</v>
      </c>
      <c r="L29" s="370"/>
    </row>
    <row r="30" spans="1:18" ht="11.25" customHeight="1" x14ac:dyDescent="0.25">
      <c r="A30" s="1271" t="str">
        <f t="shared" si="6"/>
        <v>Budget and treasury office</v>
      </c>
      <c r="B30" s="1187"/>
      <c r="C30" s="1465">
        <f>A2A!C78</f>
        <v>448665449</v>
      </c>
      <c r="D30" s="1465">
        <f>A2A!D78</f>
        <v>477871784</v>
      </c>
      <c r="E30" s="1466">
        <f>A2A!E78</f>
        <v>487363353.34000009</v>
      </c>
      <c r="F30" s="1467">
        <f>A2A!F78</f>
        <v>206565989</v>
      </c>
      <c r="G30" s="1465">
        <f>A2A!G78</f>
        <v>128905753</v>
      </c>
      <c r="H30" s="1468">
        <f>A2A!H78</f>
        <v>128905753</v>
      </c>
      <c r="I30" s="1469">
        <f>A2A!I78</f>
        <v>459766298</v>
      </c>
      <c r="J30" s="1465">
        <f>A2A!J78</f>
        <v>505157497</v>
      </c>
      <c r="K30" s="1466">
        <f>A2A!K78</f>
        <v>414644626</v>
      </c>
      <c r="L30" s="370"/>
    </row>
    <row r="31" spans="1:18" ht="11.25" customHeight="1" x14ac:dyDescent="0.25">
      <c r="A31" s="1271" t="str">
        <f t="shared" si="6"/>
        <v>Corporate services</v>
      </c>
      <c r="B31" s="1187"/>
      <c r="C31" s="1063">
        <f>A2A!C79</f>
        <v>65624745</v>
      </c>
      <c r="D31" s="1063">
        <f>A2A!D79</f>
        <v>84739196</v>
      </c>
      <c r="E31" s="1064">
        <f>A2A!E79</f>
        <v>630519.26000000443</v>
      </c>
      <c r="F31" s="1065">
        <f>A2A!F79</f>
        <v>270187751</v>
      </c>
      <c r="G31" s="1063">
        <f>A2A!G79</f>
        <v>274900366</v>
      </c>
      <c r="H31" s="1066">
        <f>A2A!H79</f>
        <v>274900366</v>
      </c>
      <c r="I31" s="1067">
        <f>A2A!I79</f>
        <v>204499636</v>
      </c>
      <c r="J31" s="1063">
        <f>A2A!J79</f>
        <v>169911616</v>
      </c>
      <c r="K31" s="1064">
        <f>A2A!K79</f>
        <v>194151456</v>
      </c>
      <c r="L31" s="370"/>
    </row>
    <row r="32" spans="1:18" ht="11.25" customHeight="1" x14ac:dyDescent="0.25">
      <c r="A32" s="1270" t="str">
        <f t="shared" si="6"/>
        <v>Community and public safety</v>
      </c>
      <c r="B32" s="1187"/>
      <c r="C32" s="1130">
        <f>SUM(C33:C37)</f>
        <v>419190375</v>
      </c>
      <c r="D32" s="1130">
        <f t="shared" ref="D32:K32" si="7">SUM(D33:D37)</f>
        <v>403145007</v>
      </c>
      <c r="E32" s="1131">
        <f t="shared" si="7"/>
        <v>452940545.85000002</v>
      </c>
      <c r="F32" s="1132">
        <f t="shared" si="7"/>
        <v>376578263</v>
      </c>
      <c r="G32" s="1130">
        <f t="shared" si="7"/>
        <v>386363581</v>
      </c>
      <c r="H32" s="1133">
        <f t="shared" si="7"/>
        <v>386363581</v>
      </c>
      <c r="I32" s="1134">
        <f t="shared" si="7"/>
        <v>389983041</v>
      </c>
      <c r="J32" s="1130">
        <f t="shared" si="7"/>
        <v>424528604</v>
      </c>
      <c r="K32" s="1131">
        <f t="shared" si="7"/>
        <v>507342265</v>
      </c>
      <c r="L32" s="370"/>
    </row>
    <row r="33" spans="1:17" ht="11.25" customHeight="1" x14ac:dyDescent="0.25">
      <c r="A33" s="1271" t="str">
        <f t="shared" si="6"/>
        <v>Community and social services</v>
      </c>
      <c r="B33" s="1187"/>
      <c r="C33" s="1063">
        <f>A2A!C85</f>
        <v>40432287</v>
      </c>
      <c r="D33" s="1063">
        <f>A2A!D85</f>
        <v>44616847</v>
      </c>
      <c r="E33" s="1064">
        <f>A2A!E85</f>
        <v>87882411.529999986</v>
      </c>
      <c r="F33" s="1065">
        <f>A2A!F85</f>
        <v>38719160</v>
      </c>
      <c r="G33" s="1063">
        <f>A2A!G85</f>
        <v>53969688</v>
      </c>
      <c r="H33" s="1066">
        <f>A2A!H85</f>
        <v>53969688</v>
      </c>
      <c r="I33" s="1067">
        <f>A2A!I85</f>
        <v>62956807</v>
      </c>
      <c r="J33" s="1063">
        <f>A2A!J85</f>
        <v>65256515</v>
      </c>
      <c r="K33" s="1064">
        <f>A2A!K85</f>
        <v>73554628</v>
      </c>
      <c r="L33" s="370"/>
    </row>
    <row r="34" spans="1:17" ht="11.25" customHeight="1" x14ac:dyDescent="0.25">
      <c r="A34" s="1271" t="str">
        <f t="shared" si="6"/>
        <v>Sport and recreation</v>
      </c>
      <c r="B34" s="1187"/>
      <c r="C34" s="1063">
        <f>A2A!C94</f>
        <v>85786035</v>
      </c>
      <c r="D34" s="1063">
        <f>A2A!D94</f>
        <v>94720021</v>
      </c>
      <c r="E34" s="1064">
        <f>A2A!E94</f>
        <v>104372739.95000003</v>
      </c>
      <c r="F34" s="1065">
        <f>A2A!F94</f>
        <v>77037840</v>
      </c>
      <c r="G34" s="1063">
        <f>A2A!G94</f>
        <v>72964228</v>
      </c>
      <c r="H34" s="1066">
        <f>A2A!H94</f>
        <v>72964228</v>
      </c>
      <c r="I34" s="1067">
        <f>A2A!I94</f>
        <v>75534731</v>
      </c>
      <c r="J34" s="1063">
        <f>A2A!J94</f>
        <v>79929840</v>
      </c>
      <c r="K34" s="1064">
        <f>A2A!K94</f>
        <v>78277128</v>
      </c>
      <c r="L34" s="370"/>
    </row>
    <row r="35" spans="1:17" ht="11.25" customHeight="1" x14ac:dyDescent="0.25">
      <c r="A35" s="1271" t="str">
        <f t="shared" si="6"/>
        <v>Public safety</v>
      </c>
      <c r="B35" s="1187"/>
      <c r="C35" s="1063">
        <f>A2A!C95</f>
        <v>169145994</v>
      </c>
      <c r="D35" s="1063">
        <f>A2A!D95</f>
        <v>173747838</v>
      </c>
      <c r="E35" s="1064">
        <f>A2A!E95</f>
        <v>171159556.24999997</v>
      </c>
      <c r="F35" s="1065">
        <f>A2A!F95</f>
        <v>177669063</v>
      </c>
      <c r="G35" s="1063">
        <f>A2A!G95</f>
        <v>203610385</v>
      </c>
      <c r="H35" s="1066">
        <f>A2A!H95</f>
        <v>203610385</v>
      </c>
      <c r="I35" s="1067">
        <f>A2A!I95</f>
        <v>205998401</v>
      </c>
      <c r="J35" s="1063">
        <f>A2A!J95</f>
        <v>231587126</v>
      </c>
      <c r="K35" s="1064">
        <f>A2A!K95</f>
        <v>305851435</v>
      </c>
      <c r="L35" s="370"/>
    </row>
    <row r="36" spans="1:17" ht="11.25" customHeight="1" x14ac:dyDescent="0.25">
      <c r="A36" s="1271" t="str">
        <f t="shared" si="6"/>
        <v>Housing</v>
      </c>
      <c r="B36" s="1187"/>
      <c r="C36" s="1063">
        <f>A2A!C101</f>
        <v>69528040</v>
      </c>
      <c r="D36" s="1063">
        <f>A2A!D101</f>
        <v>34717848</v>
      </c>
      <c r="E36" s="1064">
        <f>A2A!E101</f>
        <v>31956221.650000002</v>
      </c>
      <c r="F36" s="1065">
        <f>A2A!F101</f>
        <v>36554280</v>
      </c>
      <c r="G36" s="1063">
        <f>A2A!G101</f>
        <v>20803785</v>
      </c>
      <c r="H36" s="1066">
        <f>A2A!H101</f>
        <v>20803785</v>
      </c>
      <c r="I36" s="1067">
        <f>A2A!I101</f>
        <v>19696070</v>
      </c>
      <c r="J36" s="1063">
        <f>A2A!J101</f>
        <v>20386398</v>
      </c>
      <c r="K36" s="1064">
        <f>A2A!K101</f>
        <v>21120449</v>
      </c>
      <c r="L36" s="370"/>
    </row>
    <row r="37" spans="1:17" ht="11.25" customHeight="1" x14ac:dyDescent="0.25">
      <c r="A37" s="1271" t="str">
        <f t="shared" si="6"/>
        <v>Health</v>
      </c>
      <c r="B37" s="1187"/>
      <c r="C37" s="1465">
        <f>A2A!C102</f>
        <v>54298019</v>
      </c>
      <c r="D37" s="1465">
        <f>A2A!D102</f>
        <v>55342453</v>
      </c>
      <c r="E37" s="1466">
        <f>A2A!E102</f>
        <v>57569616.469999999</v>
      </c>
      <c r="F37" s="1467">
        <f>A2A!F102</f>
        <v>46597920</v>
      </c>
      <c r="G37" s="1465">
        <f>A2A!G102</f>
        <v>35015495</v>
      </c>
      <c r="H37" s="1468">
        <f>A2A!H102</f>
        <v>35015495</v>
      </c>
      <c r="I37" s="1469">
        <f>A2A!I102</f>
        <v>25797032</v>
      </c>
      <c r="J37" s="1465">
        <f>A2A!J102</f>
        <v>27368725</v>
      </c>
      <c r="K37" s="1466">
        <f>A2A!K102</f>
        <v>28538625</v>
      </c>
      <c r="L37" s="370"/>
    </row>
    <row r="38" spans="1:17" ht="11.25" customHeight="1" x14ac:dyDescent="0.25">
      <c r="A38" s="1270" t="str">
        <f t="shared" si="6"/>
        <v>Economic and environmental services</v>
      </c>
      <c r="B38" s="1129"/>
      <c r="C38" s="1130">
        <f>SUM(C39:C41)</f>
        <v>217934789</v>
      </c>
      <c r="D38" s="1130">
        <f t="shared" ref="D38:K38" si="8">SUM(D39:D41)</f>
        <v>217367719</v>
      </c>
      <c r="E38" s="1131">
        <f t="shared" si="8"/>
        <v>317414694.21999961</v>
      </c>
      <c r="F38" s="1132">
        <f t="shared" si="8"/>
        <v>161452115.84999999</v>
      </c>
      <c r="G38" s="1130">
        <f t="shared" si="8"/>
        <v>303924208.85000002</v>
      </c>
      <c r="H38" s="1133">
        <f t="shared" si="8"/>
        <v>303924208.85000002</v>
      </c>
      <c r="I38" s="1134">
        <f t="shared" si="8"/>
        <v>112985565</v>
      </c>
      <c r="J38" s="1130">
        <f t="shared" si="8"/>
        <v>115416249</v>
      </c>
      <c r="K38" s="1131">
        <f t="shared" si="8"/>
        <v>96415669</v>
      </c>
      <c r="L38" s="370"/>
    </row>
    <row r="39" spans="1:17" ht="11.25" customHeight="1" x14ac:dyDescent="0.25">
      <c r="A39" s="1271" t="str">
        <f t="shared" si="6"/>
        <v>Planning and development</v>
      </c>
      <c r="B39" s="1187"/>
      <c r="C39" s="1063">
        <f>A2A!C107</f>
        <v>45814692</v>
      </c>
      <c r="D39" s="1063">
        <f>A2A!D107</f>
        <v>38536023</v>
      </c>
      <c r="E39" s="1064">
        <f>A2A!E107</f>
        <v>54895952.759999998</v>
      </c>
      <c r="F39" s="1065">
        <f>A2A!F107</f>
        <v>65668050</v>
      </c>
      <c r="G39" s="1063">
        <f>A2A!G107</f>
        <v>92239532</v>
      </c>
      <c r="H39" s="1066">
        <f>A2A!H107</f>
        <v>92239532</v>
      </c>
      <c r="I39" s="1067">
        <f>A2A!I107</f>
        <v>72382823</v>
      </c>
      <c r="J39" s="1063">
        <f>A2A!J107</f>
        <v>76053673</v>
      </c>
      <c r="K39" s="1064">
        <f>A2A!K107</f>
        <v>78638623</v>
      </c>
      <c r="L39" s="370"/>
    </row>
    <row r="40" spans="1:17" ht="11.25" customHeight="1" x14ac:dyDescent="0.25">
      <c r="A40" s="1271" t="str">
        <f t="shared" si="6"/>
        <v>Road transport</v>
      </c>
      <c r="B40" s="1187"/>
      <c r="C40" s="1063">
        <f>A2A!C111</f>
        <v>172120097</v>
      </c>
      <c r="D40" s="1063">
        <f>A2A!D111</f>
        <v>178831696</v>
      </c>
      <c r="E40" s="1064">
        <f>A2A!E111</f>
        <v>262518741.45999962</v>
      </c>
      <c r="F40" s="1065">
        <f>A2A!F111</f>
        <v>95784065.849999994</v>
      </c>
      <c r="G40" s="1063">
        <f>A2A!G111</f>
        <v>211684676.84999999</v>
      </c>
      <c r="H40" s="1066">
        <f>A2A!H111</f>
        <v>211684676.84999999</v>
      </c>
      <c r="I40" s="1067">
        <f>A2A!I111</f>
        <v>40602742</v>
      </c>
      <c r="J40" s="1063">
        <f>A2A!J111</f>
        <v>39362576</v>
      </c>
      <c r="K40" s="1064">
        <f>A2A!K111</f>
        <v>17777046</v>
      </c>
      <c r="L40" s="370"/>
    </row>
    <row r="41" spans="1:17" ht="11.25" customHeight="1" x14ac:dyDescent="0.25">
      <c r="A41" s="1271" t="str">
        <f t="shared" si="6"/>
        <v>Environmental protection</v>
      </c>
      <c r="B41" s="1187"/>
      <c r="C41" s="1063">
        <f>A2A!C117</f>
        <v>0</v>
      </c>
      <c r="D41" s="1063">
        <f>A2A!D117</f>
        <v>0</v>
      </c>
      <c r="E41" s="1064">
        <f>A2A!E117</f>
        <v>0</v>
      </c>
      <c r="F41" s="1065">
        <f>A2A!F117</f>
        <v>0</v>
      </c>
      <c r="G41" s="1063">
        <f>A2A!G117</f>
        <v>0</v>
      </c>
      <c r="H41" s="1066">
        <f>A2A!H117</f>
        <v>0</v>
      </c>
      <c r="I41" s="1067">
        <f>A2A!I117</f>
        <v>0</v>
      </c>
      <c r="J41" s="1063">
        <f>A2A!J117</f>
        <v>0</v>
      </c>
      <c r="K41" s="1064">
        <f>A2A!K117</f>
        <v>0</v>
      </c>
      <c r="L41" s="370"/>
    </row>
    <row r="42" spans="1:17" ht="11.25" customHeight="1" x14ac:dyDescent="0.25">
      <c r="A42" s="1270" t="str">
        <f t="shared" si="6"/>
        <v>Trading services</v>
      </c>
      <c r="B42" s="1129"/>
      <c r="C42" s="1130">
        <f>SUM(C43:C46)</f>
        <v>1615770443</v>
      </c>
      <c r="D42" s="1130">
        <f t="shared" ref="D42:J42" si="9">SUM(D43:D46)</f>
        <v>1570097645</v>
      </c>
      <c r="E42" s="1131">
        <f t="shared" si="9"/>
        <v>1349640027.0099995</v>
      </c>
      <c r="F42" s="1132">
        <f>SUM(F43:F46)</f>
        <v>1855665222</v>
      </c>
      <c r="G42" s="1130">
        <f t="shared" si="9"/>
        <v>1923119191</v>
      </c>
      <c r="H42" s="1133">
        <f t="shared" si="9"/>
        <v>1923119191</v>
      </c>
      <c r="I42" s="1134">
        <f t="shared" si="9"/>
        <v>2180746447</v>
      </c>
      <c r="J42" s="1130">
        <f t="shared" si="9"/>
        <v>2344109932</v>
      </c>
      <c r="K42" s="1131">
        <f>SUM(K43:K46)</f>
        <v>2620053478.6625328</v>
      </c>
      <c r="L42" s="370"/>
    </row>
    <row r="43" spans="1:17" ht="11.25" customHeight="1" x14ac:dyDescent="0.25">
      <c r="A43" s="1271" t="str">
        <f t="shared" si="6"/>
        <v>Electricity</v>
      </c>
      <c r="B43" s="1187"/>
      <c r="C43" s="1063">
        <f>A2A!C122</f>
        <v>1059915295</v>
      </c>
      <c r="D43" s="1063">
        <f>A2A!D122</f>
        <v>936232000</v>
      </c>
      <c r="E43" s="1064">
        <f>A2A!E122</f>
        <v>704126167.61999989</v>
      </c>
      <c r="F43" s="1065">
        <f>A2A!F122</f>
        <v>1215590144</v>
      </c>
      <c r="G43" s="1063">
        <f>A2A!G122</f>
        <v>1215207882</v>
      </c>
      <c r="H43" s="1066">
        <f>A2A!H122</f>
        <v>1215207882</v>
      </c>
      <c r="I43" s="1067">
        <f>A2A!I122</f>
        <v>1482680000</v>
      </c>
      <c r="J43" s="1063">
        <f>A2A!J122</f>
        <v>1587127000</v>
      </c>
      <c r="K43" s="1064">
        <f>A2A!K122</f>
        <v>1784637000</v>
      </c>
      <c r="L43" s="370"/>
    </row>
    <row r="44" spans="1:17" ht="11.25" customHeight="1" x14ac:dyDescent="0.25">
      <c r="A44" s="1271" t="str">
        <f t="shared" si="6"/>
        <v>Water</v>
      </c>
      <c r="B44" s="1187"/>
      <c r="C44" s="1063">
        <f>A2A!C125</f>
        <v>336008590</v>
      </c>
      <c r="D44" s="1063">
        <f>A2A!D125</f>
        <v>416245057</v>
      </c>
      <c r="E44" s="1064">
        <f>A2A!E125</f>
        <v>425842833.3299998</v>
      </c>
      <c r="F44" s="1065">
        <f>A2A!F125</f>
        <v>476068172</v>
      </c>
      <c r="G44" s="1063">
        <f>A2A!G125</f>
        <v>514614087</v>
      </c>
      <c r="H44" s="1066">
        <f>A2A!H125</f>
        <v>514614087</v>
      </c>
      <c r="I44" s="1067">
        <f>A2A!I125</f>
        <v>573487704</v>
      </c>
      <c r="J44" s="1063">
        <f>A2A!J125</f>
        <v>525292216</v>
      </c>
      <c r="K44" s="1064">
        <f>A2A!K125</f>
        <v>456071566</v>
      </c>
      <c r="L44" s="370"/>
    </row>
    <row r="45" spans="1:17" ht="11.25" customHeight="1" x14ac:dyDescent="0.25">
      <c r="A45" s="1271" t="str">
        <f t="shared" si="6"/>
        <v>Waste water management</v>
      </c>
      <c r="B45" s="1187"/>
      <c r="C45" s="1465">
        <f>A2A!C128</f>
        <v>118085607</v>
      </c>
      <c r="D45" s="1465">
        <f>A2A!D128</f>
        <v>126756871</v>
      </c>
      <c r="E45" s="1466">
        <f>A2A!E128</f>
        <v>116054284.61</v>
      </c>
      <c r="F45" s="1467">
        <f>A2A!F128</f>
        <v>95018520</v>
      </c>
      <c r="G45" s="1465">
        <f>A2A!G128</f>
        <v>115951738</v>
      </c>
      <c r="H45" s="1468">
        <f>A2A!H128</f>
        <v>115951738</v>
      </c>
      <c r="I45" s="1469">
        <f>A2A!I128</f>
        <v>23555120</v>
      </c>
      <c r="J45" s="1465">
        <f>A2A!J128</f>
        <v>127055549</v>
      </c>
      <c r="K45" s="1466">
        <f>A2A!K128</f>
        <v>268616748.66253299</v>
      </c>
      <c r="L45" s="370"/>
    </row>
    <row r="46" spans="1:17" ht="11.25" customHeight="1" x14ac:dyDescent="0.25">
      <c r="A46" s="1271" t="str">
        <f t="shared" si="6"/>
        <v>Waste management</v>
      </c>
      <c r="B46" s="1187"/>
      <c r="C46" s="1063">
        <f>A2A!C132</f>
        <v>101760951</v>
      </c>
      <c r="D46" s="1063">
        <f>A2A!D132</f>
        <v>90863717</v>
      </c>
      <c r="E46" s="1064">
        <f>A2A!E132</f>
        <v>103616741.44999991</v>
      </c>
      <c r="F46" s="1065">
        <f>A2A!F132</f>
        <v>68988386</v>
      </c>
      <c r="G46" s="1063">
        <f>A2A!G132</f>
        <v>77345484</v>
      </c>
      <c r="H46" s="1066">
        <f>A2A!H132</f>
        <v>77345484</v>
      </c>
      <c r="I46" s="1067">
        <f>A2A!I132</f>
        <v>101023623</v>
      </c>
      <c r="J46" s="1063">
        <f>A2A!J132</f>
        <v>104635167</v>
      </c>
      <c r="K46" s="1064">
        <f>A2A!K132</f>
        <v>110728164</v>
      </c>
      <c r="L46" s="370"/>
    </row>
    <row r="47" spans="1:17" ht="11.25" customHeight="1" x14ac:dyDescent="0.25">
      <c r="A47" s="1270" t="str">
        <f t="shared" si="6"/>
        <v>Other</v>
      </c>
      <c r="B47" s="1129">
        <v>4</v>
      </c>
      <c r="C47" s="1130">
        <f>A2A!C134</f>
        <v>39914381</v>
      </c>
      <c r="D47" s="1130">
        <f>A2A!D134</f>
        <v>53979966</v>
      </c>
      <c r="E47" s="1131">
        <f>A2A!E134</f>
        <v>45086260.540000007</v>
      </c>
      <c r="F47" s="1132">
        <f>A2A!F134</f>
        <v>41102480</v>
      </c>
      <c r="G47" s="1130">
        <f>A2A!G134</f>
        <v>40498018</v>
      </c>
      <c r="H47" s="1133">
        <f>A2A!H134</f>
        <v>40496544</v>
      </c>
      <c r="I47" s="1134">
        <f>A2A!I134</f>
        <v>62713048</v>
      </c>
      <c r="J47" s="1130">
        <f>A2A!J134</f>
        <v>32531157</v>
      </c>
      <c r="K47" s="1131">
        <f>A2A!K134</f>
        <v>101178127.83489358</v>
      </c>
      <c r="L47" s="370"/>
    </row>
    <row r="48" spans="1:17" ht="11.25" customHeight="1" x14ac:dyDescent="0.25">
      <c r="A48" s="1365" t="str">
        <f>"Total "&amp;A27</f>
        <v>Total Expenditure - Standard</v>
      </c>
      <c r="B48" s="1366">
        <v>3</v>
      </c>
      <c r="C48" s="813">
        <f>C28+C32+C38+C42+C47</f>
        <v>2807100182</v>
      </c>
      <c r="D48" s="813">
        <f>D28+D32+D38+D42+D47</f>
        <v>2807201317</v>
      </c>
      <c r="E48" s="814">
        <f>E28+E32+E38+E42+E47</f>
        <v>2653096169.9399991</v>
      </c>
      <c r="F48" s="815">
        <f t="shared" ref="F48:K48" si="10">F28+F32+F38+F42+F47</f>
        <v>2982646285.8499999</v>
      </c>
      <c r="G48" s="813">
        <f t="shared" si="10"/>
        <v>3129240567.8499999</v>
      </c>
      <c r="H48" s="816">
        <f t="shared" si="10"/>
        <v>3129239093.8499999</v>
      </c>
      <c r="I48" s="1107">
        <f t="shared" si="10"/>
        <v>3473828461</v>
      </c>
      <c r="J48" s="813">
        <f t="shared" si="10"/>
        <v>3657992355</v>
      </c>
      <c r="K48" s="814">
        <f t="shared" si="10"/>
        <v>4003497194.4974265</v>
      </c>
      <c r="L48" s="370"/>
      <c r="Q48" s="280"/>
    </row>
    <row r="49" spans="1:12" x14ac:dyDescent="0.25">
      <c r="A49" s="1190" t="str">
        <f>result</f>
        <v>Surplus/(Deficit) for the year</v>
      </c>
      <c r="B49" s="1191"/>
      <c r="C49" s="283">
        <f>C25-C48</f>
        <v>-231263990</v>
      </c>
      <c r="D49" s="283">
        <f t="shared" ref="D49:K49" si="11">D25-D48</f>
        <v>94779316</v>
      </c>
      <c r="E49" s="284">
        <f t="shared" si="11"/>
        <v>234467539.21000051</v>
      </c>
      <c r="F49" s="285">
        <f t="shared" si="11"/>
        <v>5143474.4582667351</v>
      </c>
      <c r="G49" s="283">
        <f t="shared" si="11"/>
        <v>8790221.4582667351</v>
      </c>
      <c r="H49" s="282">
        <f t="shared" si="11"/>
        <v>8791695.4582667351</v>
      </c>
      <c r="I49" s="286">
        <f t="shared" si="11"/>
        <v>66585387.969754696</v>
      </c>
      <c r="J49" s="283">
        <f t="shared" si="11"/>
        <v>64556773.548416615</v>
      </c>
      <c r="K49" s="284">
        <f t="shared" si="11"/>
        <v>50000429.006783962</v>
      </c>
      <c r="L49" s="370"/>
    </row>
    <row r="50" spans="1:12" x14ac:dyDescent="0.25">
      <c r="A50" s="1192" t="str">
        <f>head27a</f>
        <v>References</v>
      </c>
      <c r="B50" s="1193"/>
      <c r="C50" s="1058"/>
      <c r="D50" s="1058"/>
      <c r="E50" s="1058"/>
      <c r="F50" s="1058"/>
      <c r="G50" s="1058"/>
      <c r="H50" s="1058"/>
      <c r="I50" s="1058"/>
      <c r="J50" s="1058"/>
      <c r="K50" s="1058"/>
    </row>
    <row r="51" spans="1:12" ht="11.25" customHeight="1" x14ac:dyDescent="0.25">
      <c r="A51" s="1194" t="s">
        <v>1129</v>
      </c>
      <c r="B51" s="1193"/>
      <c r="C51" s="1195"/>
      <c r="D51" s="1195"/>
      <c r="E51" s="1196"/>
      <c r="F51" s="1196"/>
      <c r="G51" s="1196"/>
      <c r="H51" s="1196"/>
      <c r="I51" s="1196"/>
      <c r="J51" s="1196"/>
      <c r="K51" s="1196"/>
    </row>
    <row r="52" spans="1:12" ht="11.25" customHeight="1" x14ac:dyDescent="0.25">
      <c r="A52" s="1197" t="s">
        <v>448</v>
      </c>
      <c r="B52" s="1193"/>
      <c r="C52" s="1195"/>
      <c r="D52" s="1195"/>
      <c r="E52" s="1196"/>
      <c r="F52" s="1196"/>
      <c r="G52" s="1196"/>
      <c r="H52" s="1196"/>
      <c r="I52" s="1196"/>
      <c r="J52" s="1196"/>
      <c r="K52" s="1196"/>
    </row>
    <row r="53" spans="1:12" ht="11.25" customHeight="1" x14ac:dyDescent="0.25">
      <c r="A53" s="1194" t="s">
        <v>449</v>
      </c>
      <c r="B53" s="1193"/>
      <c r="C53" s="1195"/>
      <c r="D53" s="1195"/>
      <c r="E53" s="1196"/>
      <c r="F53" s="1196"/>
      <c r="G53" s="1196"/>
      <c r="H53" s="1196"/>
      <c r="I53" s="1196"/>
      <c r="J53" s="1196"/>
      <c r="K53" s="1196"/>
    </row>
    <row r="54" spans="1:12" ht="25.5" customHeight="1" x14ac:dyDescent="0.25">
      <c r="A54" s="2681" t="s">
        <v>1203</v>
      </c>
      <c r="B54" s="2681"/>
      <c r="C54" s="2681"/>
      <c r="D54" s="2681"/>
      <c r="E54" s="2681"/>
      <c r="F54" s="2681"/>
      <c r="G54" s="2681"/>
      <c r="H54" s="2681"/>
      <c r="I54" s="2681"/>
      <c r="J54" s="2681"/>
      <c r="K54" s="2681"/>
    </row>
    <row r="55" spans="1:12" ht="11.25" customHeight="1" x14ac:dyDescent="0.25">
      <c r="A55" s="246"/>
      <c r="B55" s="236"/>
      <c r="C55" s="240"/>
      <c r="D55" s="240"/>
      <c r="E55" s="241"/>
      <c r="F55" s="241"/>
      <c r="G55" s="241"/>
      <c r="H55" s="241"/>
      <c r="I55" s="241"/>
      <c r="J55" s="241"/>
      <c r="K55" s="241"/>
    </row>
    <row r="56" spans="1:12" ht="11.25" customHeight="1" x14ac:dyDescent="0.25">
      <c r="A56" s="246"/>
      <c r="B56" s="236"/>
      <c r="C56" s="240"/>
      <c r="D56" s="240"/>
      <c r="E56" s="241"/>
      <c r="F56" s="241"/>
      <c r="G56" s="241"/>
      <c r="H56" s="241"/>
      <c r="I56" s="241"/>
      <c r="J56" s="241"/>
      <c r="K56" s="241"/>
    </row>
    <row r="57" spans="1:12" ht="11.25" customHeight="1" x14ac:dyDescent="0.25">
      <c r="A57" s="288" t="s">
        <v>154</v>
      </c>
      <c r="B57" s="243"/>
      <c r="C57" s="289">
        <f>C25-'A4-FinPerf RE'!C60</f>
        <v>442</v>
      </c>
      <c r="D57" s="289">
        <f>D25-'A4-FinPerf RE'!D60</f>
        <v>127</v>
      </c>
      <c r="E57" s="1030">
        <f>E25-'A4-FinPerf RE'!E60</f>
        <v>-232.85000038146973</v>
      </c>
      <c r="F57" s="289">
        <f>F25-'A4-FinPerf RE'!F60</f>
        <v>-318.91946649551392</v>
      </c>
      <c r="G57" s="289">
        <f>G25-'A4-FinPerf RE'!G60</f>
        <v>-812.69173336029053</v>
      </c>
      <c r="H57" s="289">
        <f>H25-'A4-FinPerf RE'!H60</f>
        <v>-812.69173336029053</v>
      </c>
      <c r="I57" s="289">
        <f>I25-'A4-FinPerf RE'!J60</f>
        <v>-431.03024530410767</v>
      </c>
      <c r="J57" s="289">
        <f>J25-'A4-FinPerf RE'!K60</f>
        <v>-130.45158338546753</v>
      </c>
      <c r="K57" s="289">
        <f>K25-'A4-FinPerf RE'!L60</f>
        <v>-337.10189867019653</v>
      </c>
    </row>
    <row r="58" spans="1:12" ht="11.25" customHeight="1" x14ac:dyDescent="0.25">
      <c r="A58" s="288" t="s">
        <v>875</v>
      </c>
      <c r="B58" s="243"/>
      <c r="C58" s="289">
        <f>C48-'A4-FinPerf RE'!C36</f>
        <v>0</v>
      </c>
      <c r="D58" s="289">
        <f>D48-'A4-FinPerf RE'!D36</f>
        <v>0</v>
      </c>
      <c r="E58" s="1030">
        <f>E48-'A4-FinPerf RE'!E36</f>
        <v>0.3899989128112793</v>
      </c>
      <c r="F58" s="289">
        <f>F48-'A4-FinPerf RE'!F36</f>
        <v>0.15738058090209961</v>
      </c>
      <c r="G58" s="289">
        <f>G48-'A4-FinPerf RE'!G36</f>
        <v>-0.15000009536743164</v>
      </c>
      <c r="H58" s="289">
        <f>H48-'A4-FinPerf RE'!H36</f>
        <v>-0.15000009536743164</v>
      </c>
      <c r="I58" s="289">
        <f>I48-'A4-FinPerf RE'!J36</f>
        <v>0</v>
      </c>
      <c r="J58" s="289">
        <f>J48-'A4-FinPerf RE'!K36</f>
        <v>0</v>
      </c>
      <c r="K58" s="289">
        <f>K48-'A4-FinPerf RE'!L36</f>
        <v>0.49742650985717773</v>
      </c>
    </row>
    <row r="59" spans="1:12" ht="11.25" customHeight="1" x14ac:dyDescent="0.25"/>
    <row r="60" spans="1:12" ht="11.25" customHeight="1" x14ac:dyDescent="0.25"/>
    <row r="61" spans="1:12" ht="11.25" customHeight="1" x14ac:dyDescent="0.25"/>
    <row r="62" spans="1:12" ht="11.25" customHeight="1" x14ac:dyDescent="0.25">
      <c r="E62" s="362"/>
    </row>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sheetProtection password="C646" sheet="1" objects="1" scenarios="1"/>
  <mergeCells count="3">
    <mergeCell ref="A54:K54"/>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indexed="44"/>
  </sheetPr>
  <dimension ref="A1:R184"/>
  <sheetViews>
    <sheetView showGridLines="0" view="pageBreakPreview" topLeftCell="A123" zoomScaleNormal="100" zoomScaleSheetLayoutView="100" workbookViewId="0">
      <selection activeCell="E124" sqref="E124"/>
    </sheetView>
  </sheetViews>
  <sheetFormatPr defaultColWidth="9.1796875" defaultRowHeight="10.5" x14ac:dyDescent="0.25"/>
  <cols>
    <col min="1" max="1" width="30.7265625" style="149" customWidth="1"/>
    <col min="2" max="2" width="3" style="247" customWidth="1"/>
    <col min="3" max="11" width="9.26953125" style="149" customWidth="1"/>
    <col min="12" max="41" width="9.54296875" style="149" customWidth="1"/>
    <col min="42" max="16384" width="9.1796875" style="149"/>
  </cols>
  <sheetData>
    <row r="1" spans="1:18" ht="13" x14ac:dyDescent="0.3">
      <c r="A1" s="147" t="str">
        <f>muni&amp;" - "&amp;Approve3</f>
        <v>KZN225 Msunduzi - Table A2 Consolidated Budgeted Financial Performance (revenue and expenditure by standard classification)</v>
      </c>
      <c r="B1" s="248"/>
      <c r="C1" s="248"/>
      <c r="D1" s="248"/>
      <c r="E1" s="248"/>
      <c r="F1" s="248"/>
      <c r="G1" s="248"/>
      <c r="H1" s="248"/>
      <c r="I1" s="248"/>
      <c r="J1" s="248"/>
      <c r="K1" s="248"/>
    </row>
    <row r="2" spans="1:18" ht="28.5" customHeight="1" x14ac:dyDescent="0.25">
      <c r="A2" s="975" t="str">
        <f>"Standard Classification "&amp;desc</f>
        <v>Standard Classification Description</v>
      </c>
      <c r="B2" s="419" t="str">
        <f>head27</f>
        <v>Ref</v>
      </c>
      <c r="C2" s="150" t="str">
        <f>head1b</f>
        <v>2009/10</v>
      </c>
      <c r="D2" s="150" t="str">
        <f>head1A</f>
        <v>2010/11</v>
      </c>
      <c r="E2" s="146" t="str">
        <f>Head1</f>
        <v>2011/12</v>
      </c>
      <c r="F2" s="2677" t="str">
        <f>Head2</f>
        <v>Current Year 2012/13</v>
      </c>
      <c r="G2" s="2678"/>
      <c r="H2" s="2682"/>
      <c r="I2" s="2674" t="str">
        <f>Head3</f>
        <v>2013/14 Medium Term Revenue &amp; Expenditure Framework</v>
      </c>
      <c r="J2" s="2675"/>
      <c r="K2" s="2676"/>
    </row>
    <row r="3" spans="1:18" ht="21" x14ac:dyDescent="0.25">
      <c r="A3" s="180" t="s">
        <v>665</v>
      </c>
      <c r="B3" s="986">
        <v>1</v>
      </c>
      <c r="C3" s="390" t="str">
        <f>Head5</f>
        <v>Audited Outcome</v>
      </c>
      <c r="D3" s="390" t="str">
        <f>Head5</f>
        <v>Audited Outcome</v>
      </c>
      <c r="E3" s="391" t="str">
        <f>Head5</f>
        <v>Audited Outcome</v>
      </c>
      <c r="F3" s="299" t="str">
        <f>Head6</f>
        <v>Original Budget</v>
      </c>
      <c r="G3" s="390" t="str">
        <f>Head7</f>
        <v>Adjusted Budget</v>
      </c>
      <c r="H3" s="391" t="str">
        <f>Head8</f>
        <v>Full Year Forecast</v>
      </c>
      <c r="I3" s="299" t="str">
        <f>Head9</f>
        <v>Budget Year 2013/14</v>
      </c>
      <c r="J3" s="390" t="str">
        <f>Head10</f>
        <v>Budget Year +1 2014/15</v>
      </c>
      <c r="K3" s="391" t="str">
        <f>Head11</f>
        <v>Budget Year +2 2015/16</v>
      </c>
    </row>
    <row r="4" spans="1:18" ht="11.25" customHeight="1" x14ac:dyDescent="0.25">
      <c r="A4" s="249" t="s">
        <v>429</v>
      </c>
      <c r="B4" s="182"/>
      <c r="C4" s="184"/>
      <c r="D4" s="184"/>
      <c r="E4" s="183"/>
      <c r="F4" s="186"/>
      <c r="G4" s="184"/>
      <c r="H4" s="185"/>
      <c r="I4" s="1333"/>
      <c r="J4" s="184"/>
      <c r="K4" s="185"/>
      <c r="L4" s="370"/>
    </row>
    <row r="5" spans="1:18" ht="11.25" customHeight="1" x14ac:dyDescent="0.25">
      <c r="A5" s="1270" t="s">
        <v>141</v>
      </c>
      <c r="B5" s="1187"/>
      <c r="C5" s="1337">
        <f>C6+C9+C10</f>
        <v>980034431</v>
      </c>
      <c r="D5" s="1337">
        <f t="shared" ref="D5:K5" si="0">D6+D9+D10</f>
        <v>1029257237</v>
      </c>
      <c r="E5" s="1506">
        <f t="shared" si="0"/>
        <v>1119103770.6100001</v>
      </c>
      <c r="F5" s="1341">
        <f t="shared" si="0"/>
        <v>668762575</v>
      </c>
      <c r="G5" s="1337">
        <f t="shared" si="0"/>
        <v>882847908</v>
      </c>
      <c r="H5" s="1507">
        <f t="shared" si="0"/>
        <v>882847908</v>
      </c>
      <c r="I5" s="1508">
        <f t="shared" si="0"/>
        <v>1012505892</v>
      </c>
      <c r="J5" s="1337">
        <f t="shared" si="0"/>
        <v>1093298367</v>
      </c>
      <c r="K5" s="1507">
        <f t="shared" si="0"/>
        <v>1029765188.3124001</v>
      </c>
      <c r="L5" s="370"/>
      <c r="Q5" s="252"/>
      <c r="R5" s="253"/>
    </row>
    <row r="6" spans="1:18" ht="11.25" customHeight="1" x14ac:dyDescent="0.25">
      <c r="A6" s="1329" t="s">
        <v>142</v>
      </c>
      <c r="B6" s="1187"/>
      <c r="C6" s="1110">
        <f>SUM(C7:C8)</f>
        <v>464567</v>
      </c>
      <c r="D6" s="1110">
        <f t="shared" ref="D6:K6" si="1">SUM(D7:D8)</f>
        <v>700142</v>
      </c>
      <c r="E6" s="1423">
        <f t="shared" si="1"/>
        <v>564023.9</v>
      </c>
      <c r="F6" s="1111">
        <f t="shared" si="1"/>
        <v>287184</v>
      </c>
      <c r="G6" s="1110">
        <f t="shared" si="1"/>
        <v>1240087</v>
      </c>
      <c r="H6" s="1147">
        <f t="shared" si="1"/>
        <v>1240087</v>
      </c>
      <c r="I6" s="1424">
        <f t="shared" si="1"/>
        <v>302405</v>
      </c>
      <c r="J6" s="1110">
        <f t="shared" si="1"/>
        <v>317223</v>
      </c>
      <c r="K6" s="1147">
        <f t="shared" si="1"/>
        <v>0</v>
      </c>
      <c r="L6" s="370"/>
      <c r="Q6" s="252"/>
      <c r="R6" s="253"/>
    </row>
    <row r="7" spans="1:18" ht="11.25" customHeight="1" x14ac:dyDescent="0.25">
      <c r="A7" s="1550" t="s">
        <v>334</v>
      </c>
      <c r="B7" s="1187"/>
      <c r="C7" s="1614">
        <v>462073</v>
      </c>
      <c r="D7" s="1614">
        <v>667926</v>
      </c>
      <c r="E7" s="1615">
        <v>336052.58</v>
      </c>
      <c r="F7" s="1616"/>
      <c r="G7" s="1614">
        <v>0</v>
      </c>
      <c r="H7" s="1614">
        <v>0</v>
      </c>
      <c r="I7" s="1614">
        <v>0</v>
      </c>
      <c r="J7" s="1617">
        <v>0</v>
      </c>
      <c r="K7" s="1614">
        <v>0</v>
      </c>
      <c r="L7" s="370"/>
      <c r="Q7" s="252"/>
      <c r="R7" s="253"/>
    </row>
    <row r="8" spans="1:18" ht="11.25" customHeight="1" x14ac:dyDescent="0.25">
      <c r="A8" s="1550" t="s">
        <v>335</v>
      </c>
      <c r="B8" s="1187"/>
      <c r="C8" s="1614">
        <v>2494</v>
      </c>
      <c r="D8" s="1614">
        <v>32216</v>
      </c>
      <c r="E8" s="1615">
        <v>227971.32</v>
      </c>
      <c r="F8" s="1616">
        <v>287184</v>
      </c>
      <c r="G8" s="1614">
        <f>F8+[4]B2B!$I$10</f>
        <v>1240087</v>
      </c>
      <c r="H8" s="1614">
        <f>G8</f>
        <v>1240087</v>
      </c>
      <c r="I8" s="1614">
        <v>302405</v>
      </c>
      <c r="J8" s="1617">
        <v>317223</v>
      </c>
      <c r="K8" s="1614">
        <v>0</v>
      </c>
      <c r="L8" s="370"/>
      <c r="Q8" s="252"/>
      <c r="R8" s="253"/>
    </row>
    <row r="9" spans="1:18" ht="11.25" customHeight="1" x14ac:dyDescent="0.25">
      <c r="A9" s="1329" t="s">
        <v>143</v>
      </c>
      <c r="B9" s="1187"/>
      <c r="C9" s="1619">
        <f>891240927+69666750</f>
        <v>960907677</v>
      </c>
      <c r="D9" s="1619">
        <f>1006188735-260494</f>
        <v>1005928241</v>
      </c>
      <c r="E9" s="1620">
        <v>1112184200.6700001</v>
      </c>
      <c r="F9" s="1621">
        <v>642449518</v>
      </c>
      <c r="G9" s="1614">
        <f>F9+[5]B2B!$I$11</f>
        <v>853288136</v>
      </c>
      <c r="H9" s="1614">
        <f>G9</f>
        <v>853288136</v>
      </c>
      <c r="I9" s="1619">
        <f>(653760000+37363000)*2-350125000+2613000-5792000-1000000-62701000+30302000</f>
        <v>995543000</v>
      </c>
      <c r="J9" s="1622">
        <f>725934043+11378000+229340000+264120000-17748000-138602000</f>
        <v>1074422043</v>
      </c>
      <c r="K9" s="1614">
        <f>1121293228.0624-11433000-320000000+464662000-16861000-133600000-78365000</f>
        <v>1025696228.0624001</v>
      </c>
      <c r="L9" s="370"/>
      <c r="Q9" s="252"/>
      <c r="R9" s="253"/>
    </row>
    <row r="10" spans="1:18" ht="11.25" customHeight="1" x14ac:dyDescent="0.25">
      <c r="A10" s="1329" t="s">
        <v>144</v>
      </c>
      <c r="B10" s="1187"/>
      <c r="C10" s="1110">
        <f>SUM(C11:C14)</f>
        <v>18662187</v>
      </c>
      <c r="D10" s="1110">
        <f t="shared" ref="D10:K10" si="2">SUM(D11:D14)</f>
        <v>22628854</v>
      </c>
      <c r="E10" s="1423">
        <f t="shared" si="2"/>
        <v>6355546.0399999991</v>
      </c>
      <c r="F10" s="1111">
        <f t="shared" si="2"/>
        <v>26025873</v>
      </c>
      <c r="G10" s="1110">
        <f t="shared" si="2"/>
        <v>28319685</v>
      </c>
      <c r="H10" s="1147">
        <f t="shared" si="2"/>
        <v>28319685</v>
      </c>
      <c r="I10" s="1424">
        <f t="shared" si="2"/>
        <v>16660487</v>
      </c>
      <c r="J10" s="1110">
        <f t="shared" si="2"/>
        <v>18559101</v>
      </c>
      <c r="K10" s="1147">
        <f t="shared" si="2"/>
        <v>4068960.25</v>
      </c>
      <c r="L10" s="370"/>
      <c r="Q10" s="252"/>
      <c r="R10" s="253"/>
    </row>
    <row r="11" spans="1:18" ht="11.25" customHeight="1" x14ac:dyDescent="0.25">
      <c r="A11" s="1550" t="s">
        <v>336</v>
      </c>
      <c r="B11" s="1187"/>
      <c r="C11" s="1614">
        <v>2510186</v>
      </c>
      <c r="D11" s="1614">
        <v>111834</v>
      </c>
      <c r="E11" s="1615">
        <v>3306501.3</v>
      </c>
      <c r="F11" s="1616">
        <v>2764942</v>
      </c>
      <c r="G11" s="1614">
        <f>F11+[4]B2B!$I$13</f>
        <v>3067320</v>
      </c>
      <c r="H11" s="1614">
        <f>G11</f>
        <v>3067320</v>
      </c>
      <c r="I11" s="1614">
        <v>2911484</v>
      </c>
      <c r="J11" s="1617">
        <v>3054146</v>
      </c>
      <c r="K11" s="1614">
        <v>4065451.25</v>
      </c>
      <c r="L11" s="370"/>
      <c r="Q11" s="252"/>
      <c r="R11" s="253"/>
    </row>
    <row r="12" spans="1:18" ht="11.25" customHeight="1" x14ac:dyDescent="0.25">
      <c r="A12" s="1550" t="s">
        <v>337</v>
      </c>
      <c r="B12" s="1187"/>
      <c r="C12" s="1614">
        <v>31145</v>
      </c>
      <c r="D12" s="1614">
        <v>12581</v>
      </c>
      <c r="E12" s="1615">
        <v>8883.1299999999992</v>
      </c>
      <c r="F12" s="1616">
        <v>11393</v>
      </c>
      <c r="G12" s="1614">
        <f>F12+[4]B2B!$I$14</f>
        <v>8028</v>
      </c>
      <c r="H12" s="1614">
        <f>G12</f>
        <v>8028</v>
      </c>
      <c r="I12" s="1614">
        <v>11997</v>
      </c>
      <c r="J12" s="1617">
        <v>12585</v>
      </c>
      <c r="K12" s="1614">
        <v>3409</v>
      </c>
      <c r="L12" s="370"/>
      <c r="Q12" s="252"/>
      <c r="R12" s="253"/>
    </row>
    <row r="13" spans="1:18" ht="11.25" customHeight="1" x14ac:dyDescent="0.25">
      <c r="A13" s="1550" t="s">
        <v>1061</v>
      </c>
      <c r="B13" s="1187"/>
      <c r="C13" s="1614">
        <v>13214150</v>
      </c>
      <c r="D13" s="1614">
        <v>19437316</v>
      </c>
      <c r="E13" s="1615"/>
      <c r="F13" s="1616">
        <v>22993152</v>
      </c>
      <c r="G13" s="1614">
        <f>F13+[4]B2B!$I$15</f>
        <v>24854152</v>
      </c>
      <c r="H13" s="1614">
        <f>G13</f>
        <v>24854152</v>
      </c>
      <c r="I13" s="1614">
        <v>13466134</v>
      </c>
      <c r="J13" s="1617">
        <v>15207010</v>
      </c>
      <c r="K13" s="1614">
        <v>0</v>
      </c>
      <c r="L13" s="370"/>
      <c r="Q13" s="252"/>
      <c r="R13" s="253"/>
    </row>
    <row r="14" spans="1:18" ht="11.25" customHeight="1" x14ac:dyDescent="0.25">
      <c r="A14" s="1550" t="s">
        <v>1062</v>
      </c>
      <c r="B14" s="1187"/>
      <c r="C14" s="1614">
        <v>2906706</v>
      </c>
      <c r="D14" s="1614">
        <v>3067123</v>
      </c>
      <c r="E14" s="1615">
        <v>3040161.61</v>
      </c>
      <c r="F14" s="1616">
        <v>256386</v>
      </c>
      <c r="G14" s="1614">
        <f>F14+[4]B2B!$I$16</f>
        <v>390185</v>
      </c>
      <c r="H14" s="1614">
        <f>G14</f>
        <v>390185</v>
      </c>
      <c r="I14" s="1614">
        <v>270872</v>
      </c>
      <c r="J14" s="1617">
        <v>285360</v>
      </c>
      <c r="K14" s="1614">
        <v>100</v>
      </c>
      <c r="L14" s="370"/>
      <c r="Q14" s="252"/>
      <c r="R14" s="253"/>
    </row>
    <row r="15" spans="1:18" ht="11.25" customHeight="1" x14ac:dyDescent="0.25">
      <c r="A15" s="1270" t="s">
        <v>145</v>
      </c>
      <c r="B15" s="1187"/>
      <c r="C15" s="1337">
        <f>C16+C25+C26+C32+C33</f>
        <v>77867339</v>
      </c>
      <c r="D15" s="1337">
        <f t="shared" ref="D15:K15" si="3">D16+D25+D26+D32+D33</f>
        <v>31696852</v>
      </c>
      <c r="E15" s="1506">
        <f t="shared" si="3"/>
        <v>40340261.57</v>
      </c>
      <c r="F15" s="1341">
        <f t="shared" si="3"/>
        <v>26288840.981600001</v>
      </c>
      <c r="G15" s="1337">
        <f>G16+G25+G26+G32+G33</f>
        <v>40415595.981600001</v>
      </c>
      <c r="H15" s="1507">
        <f t="shared" si="3"/>
        <v>40415595.981600001</v>
      </c>
      <c r="I15" s="1508">
        <f t="shared" si="3"/>
        <v>32854040.169976</v>
      </c>
      <c r="J15" s="1337">
        <f t="shared" si="3"/>
        <v>34473464.409235574</v>
      </c>
      <c r="K15" s="1507">
        <f t="shared" si="3"/>
        <v>10929202.643722335</v>
      </c>
      <c r="L15" s="370"/>
      <c r="Q15" s="252"/>
      <c r="R15" s="253"/>
    </row>
    <row r="16" spans="1:18" ht="11.25" customHeight="1" x14ac:dyDescent="0.25">
      <c r="A16" s="1329" t="s">
        <v>146</v>
      </c>
      <c r="B16" s="1187"/>
      <c r="C16" s="1138">
        <f>SUM(C17:C24)</f>
        <v>5699366</v>
      </c>
      <c r="D16" s="1138">
        <f t="shared" ref="D16:K16" si="4">SUM(D17:D24)</f>
        <v>4658957</v>
      </c>
      <c r="E16" s="1509">
        <f>SUM(E17:E25)</f>
        <v>18149578.52</v>
      </c>
      <c r="F16" s="1139">
        <f t="shared" si="4"/>
        <v>1527159</v>
      </c>
      <c r="G16" s="1138">
        <f t="shared" si="4"/>
        <v>23470113</v>
      </c>
      <c r="H16" s="1510">
        <f t="shared" si="4"/>
        <v>23470113</v>
      </c>
      <c r="I16" s="1511">
        <f t="shared" si="4"/>
        <v>1630522</v>
      </c>
      <c r="J16" s="1138">
        <f t="shared" si="4"/>
        <v>1740780</v>
      </c>
      <c r="K16" s="1510">
        <f t="shared" si="4"/>
        <v>2683460.4538162588</v>
      </c>
      <c r="L16" s="370"/>
      <c r="Q16" s="252"/>
      <c r="R16" s="253"/>
    </row>
    <row r="17" spans="1:18" ht="11.25" customHeight="1" x14ac:dyDescent="0.25">
      <c r="A17" s="1550" t="s">
        <v>1644</v>
      </c>
      <c r="B17" s="1187"/>
      <c r="C17" s="1614">
        <v>4677549</v>
      </c>
      <c r="D17" s="1614">
        <v>3820760</v>
      </c>
      <c r="E17" s="1615">
        <v>2462277.9900000002</v>
      </c>
      <c r="F17" s="1616">
        <v>452377</v>
      </c>
      <c r="G17" s="1614">
        <f>F17+[5]B2B!$I$19</f>
        <v>21768268</v>
      </c>
      <c r="H17" s="1614">
        <f>G17</f>
        <v>21768268</v>
      </c>
      <c r="I17" s="1614">
        <v>498776</v>
      </c>
      <c r="J17" s="1617">
        <v>553578</v>
      </c>
      <c r="K17" s="1614">
        <v>0</v>
      </c>
      <c r="L17" s="370"/>
      <c r="Q17" s="252"/>
      <c r="R17" s="253"/>
    </row>
    <row r="18" spans="1:18" ht="11.25" customHeight="1" x14ac:dyDescent="0.25">
      <c r="A18" s="1550" t="s">
        <v>813</v>
      </c>
      <c r="B18" s="1187"/>
      <c r="C18" s="1614">
        <v>70728</v>
      </c>
      <c r="D18" s="1614">
        <v>80000</v>
      </c>
      <c r="E18" s="1615">
        <v>696000</v>
      </c>
      <c r="F18" s="1616"/>
      <c r="G18" s="1614"/>
      <c r="H18" s="1614"/>
      <c r="I18" s="1614"/>
      <c r="J18" s="1617"/>
      <c r="K18" s="1614">
        <v>0</v>
      </c>
      <c r="L18" s="370"/>
      <c r="Q18" s="252"/>
      <c r="R18" s="253"/>
    </row>
    <row r="19" spans="1:18" ht="11.25" customHeight="1" x14ac:dyDescent="0.25">
      <c r="A19" s="1550" t="s">
        <v>814</v>
      </c>
      <c r="B19" s="1187"/>
      <c r="C19" s="1614">
        <v>0</v>
      </c>
      <c r="D19" s="1614">
        <v>0</v>
      </c>
      <c r="E19" s="1615">
        <v>2452000</v>
      </c>
      <c r="F19" s="1616"/>
      <c r="G19" s="1614"/>
      <c r="H19" s="1614"/>
      <c r="I19" s="1614"/>
      <c r="J19" s="1617"/>
      <c r="K19" s="1614">
        <v>1433852.660349837</v>
      </c>
      <c r="L19" s="370"/>
      <c r="Q19" s="252"/>
      <c r="R19" s="253"/>
    </row>
    <row r="20" spans="1:18" ht="11.25" customHeight="1" x14ac:dyDescent="0.25">
      <c r="A20" s="1550" t="s">
        <v>815</v>
      </c>
      <c r="B20" s="1187"/>
      <c r="C20" s="1614">
        <v>945738</v>
      </c>
      <c r="D20" s="1614">
        <v>758197</v>
      </c>
      <c r="E20" s="1615">
        <v>3854300.53</v>
      </c>
      <c r="F20" s="1616">
        <v>1074782</v>
      </c>
      <c r="G20" s="1614">
        <f>F20+[4]B2B!$I$22</f>
        <v>1701845</v>
      </c>
      <c r="H20" s="1614">
        <f>G20</f>
        <v>1701845</v>
      </c>
      <c r="I20" s="1614">
        <v>1131746</v>
      </c>
      <c r="J20" s="1617">
        <v>1187202</v>
      </c>
      <c r="K20" s="1614">
        <v>1244812.70954898</v>
      </c>
      <c r="L20" s="370"/>
      <c r="Q20" s="252"/>
      <c r="R20" s="253"/>
    </row>
    <row r="21" spans="1:18" ht="11.25" customHeight="1" x14ac:dyDescent="0.25">
      <c r="A21" s="1550" t="s">
        <v>1645</v>
      </c>
      <c r="B21" s="1187"/>
      <c r="C21" s="1614">
        <v>0</v>
      </c>
      <c r="D21" s="1614">
        <v>0</v>
      </c>
      <c r="E21" s="1615">
        <v>0</v>
      </c>
      <c r="F21" s="1616"/>
      <c r="G21" s="1614"/>
      <c r="H21" s="1614"/>
      <c r="I21" s="1614"/>
      <c r="J21" s="1617"/>
      <c r="K21" s="1614">
        <v>0</v>
      </c>
      <c r="L21" s="370"/>
      <c r="Q21" s="252"/>
      <c r="R21" s="253"/>
    </row>
    <row r="22" spans="1:18" ht="11.25" customHeight="1" x14ac:dyDescent="0.25">
      <c r="A22" s="1550" t="s">
        <v>1646</v>
      </c>
      <c r="B22" s="1187"/>
      <c r="C22" s="1614">
        <v>5351</v>
      </c>
      <c r="D22" s="1614">
        <v>0</v>
      </c>
      <c r="E22" s="1615">
        <v>0</v>
      </c>
      <c r="F22" s="1616"/>
      <c r="G22" s="1614"/>
      <c r="H22" s="1614"/>
      <c r="I22" s="1614"/>
      <c r="J22" s="1617"/>
      <c r="K22" s="1614">
        <v>0</v>
      </c>
      <c r="L22" s="370"/>
      <c r="Q22" s="252"/>
      <c r="R22" s="253"/>
    </row>
    <row r="23" spans="1:18" ht="11.25" customHeight="1" x14ac:dyDescent="0.25">
      <c r="A23" s="1550" t="s">
        <v>1647</v>
      </c>
      <c r="B23" s="1187"/>
      <c r="C23" s="1614">
        <v>0</v>
      </c>
      <c r="D23" s="1614">
        <v>0</v>
      </c>
      <c r="E23" s="1615">
        <v>6714000</v>
      </c>
      <c r="F23" s="1616"/>
      <c r="G23" s="1614"/>
      <c r="H23" s="1614"/>
      <c r="I23" s="1614"/>
      <c r="J23" s="1617"/>
      <c r="K23" s="1614">
        <v>4795.0839174419998</v>
      </c>
      <c r="L23" s="370"/>
      <c r="Q23" s="252"/>
      <c r="R23" s="253"/>
    </row>
    <row r="24" spans="1:18" ht="11.25" customHeight="1" x14ac:dyDescent="0.25">
      <c r="A24" s="1550" t="s">
        <v>1648</v>
      </c>
      <c r="B24" s="1187"/>
      <c r="C24" s="1614">
        <v>0</v>
      </c>
      <c r="D24" s="1614">
        <v>0</v>
      </c>
      <c r="E24" s="1615">
        <v>0</v>
      </c>
      <c r="F24" s="1616"/>
      <c r="G24" s="1614"/>
      <c r="H24" s="1614"/>
      <c r="I24" s="1614"/>
      <c r="J24" s="1617"/>
      <c r="K24" s="1614">
        <v>0</v>
      </c>
      <c r="L24" s="370"/>
      <c r="Q24" s="252"/>
      <c r="R24" s="253"/>
    </row>
    <row r="25" spans="1:18" ht="11.25" customHeight="1" x14ac:dyDescent="0.25">
      <c r="A25" s="1329" t="s">
        <v>147</v>
      </c>
      <c r="B25" s="1187"/>
      <c r="C25" s="1614">
        <v>901350</v>
      </c>
      <c r="D25" s="1614">
        <v>795835</v>
      </c>
      <c r="E25" s="1615">
        <v>1971000</v>
      </c>
      <c r="F25" s="1616">
        <v>834872</v>
      </c>
      <c r="G25" s="1614">
        <f>F25+[4]B2B!$I$27</f>
        <v>552285</v>
      </c>
      <c r="H25" s="1614">
        <f>G25</f>
        <v>552285</v>
      </c>
      <c r="I25" s="1614">
        <v>891882</v>
      </c>
      <c r="J25" s="1617">
        <v>952864</v>
      </c>
      <c r="K25" s="1614">
        <v>34593.409851975004</v>
      </c>
      <c r="L25" s="370"/>
      <c r="Q25" s="252"/>
      <c r="R25" s="253"/>
    </row>
    <row r="26" spans="1:18" ht="11.25" customHeight="1" x14ac:dyDescent="0.25">
      <c r="A26" s="1329" t="s">
        <v>148</v>
      </c>
      <c r="B26" s="1187"/>
      <c r="C26" s="1138">
        <f>SUM(C27:C31)</f>
        <v>9563638</v>
      </c>
      <c r="D26" s="1138">
        <f t="shared" ref="D26:K26" si="5">SUM(D27:D31)</f>
        <v>9144980</v>
      </c>
      <c r="E26" s="1509">
        <f t="shared" si="5"/>
        <v>5451000</v>
      </c>
      <c r="F26" s="1139">
        <f t="shared" si="5"/>
        <v>6631015.9815999996</v>
      </c>
      <c r="G26" s="1138">
        <f t="shared" si="5"/>
        <v>7165813.9815999996</v>
      </c>
      <c r="H26" s="1510">
        <f t="shared" si="5"/>
        <v>7165813.9815999996</v>
      </c>
      <c r="I26" s="1511">
        <f t="shared" si="5"/>
        <v>26998052.579392001</v>
      </c>
      <c r="J26" s="1138">
        <f t="shared" si="5"/>
        <v>28411632.304712959</v>
      </c>
      <c r="K26" s="1510">
        <f t="shared" si="5"/>
        <v>8132804.7800541017</v>
      </c>
      <c r="L26" s="370"/>
      <c r="Q26" s="252"/>
      <c r="R26" s="253"/>
    </row>
    <row r="27" spans="1:18" ht="11.25" customHeight="1" x14ac:dyDescent="0.25">
      <c r="A27" s="1550" t="s">
        <v>1649</v>
      </c>
      <c r="B27" s="1187"/>
      <c r="C27" s="1614">
        <v>7891522</v>
      </c>
      <c r="D27" s="1614">
        <v>6868540</v>
      </c>
      <c r="E27" s="1615">
        <v>5076000</v>
      </c>
      <c r="F27" s="1616">
        <v>4717796</v>
      </c>
      <c r="G27" s="1614">
        <f>F27+[4]B2B!$I$29</f>
        <v>5099908</v>
      </c>
      <c r="H27" s="1614">
        <f>G27</f>
        <v>5099908</v>
      </c>
      <c r="I27" s="1614">
        <v>5008601</v>
      </c>
      <c r="J27" s="1617">
        <v>5366169</v>
      </c>
      <c r="K27" s="1614">
        <v>7687612.0082041016</v>
      </c>
      <c r="L27" s="370"/>
      <c r="Q27" s="252"/>
      <c r="R27" s="253"/>
    </row>
    <row r="28" spans="1:18" ht="11.25" customHeight="1" x14ac:dyDescent="0.25">
      <c r="A28" s="1550" t="s">
        <v>1514</v>
      </c>
      <c r="B28" s="1187"/>
      <c r="C28" s="1614">
        <v>1460095</v>
      </c>
      <c r="D28" s="1614">
        <v>587533</v>
      </c>
      <c r="E28" s="1615">
        <v>375000</v>
      </c>
      <c r="F28" s="1616">
        <v>384279</v>
      </c>
      <c r="G28" s="1614">
        <f>F28+[4]B2B!$I$30</f>
        <v>533455</v>
      </c>
      <c r="H28" s="1614">
        <f>G28</f>
        <v>533455</v>
      </c>
      <c r="I28" s="1614">
        <v>405438</v>
      </c>
      <c r="J28" s="1617">
        <v>429775</v>
      </c>
      <c r="K28" s="1614">
        <v>445192.77184999996</v>
      </c>
      <c r="L28" s="370"/>
      <c r="Q28" s="252"/>
      <c r="R28" s="253"/>
    </row>
    <row r="29" spans="1:18" ht="11.25" customHeight="1" x14ac:dyDescent="0.25">
      <c r="A29" s="1550" t="s">
        <v>794</v>
      </c>
      <c r="B29" s="1187"/>
      <c r="C29" s="1614">
        <v>307</v>
      </c>
      <c r="D29" s="1614">
        <v>116</v>
      </c>
      <c r="E29" s="1615">
        <v>0</v>
      </c>
      <c r="F29" s="1616">
        <v>0</v>
      </c>
      <c r="G29" s="1614">
        <v>0</v>
      </c>
      <c r="H29" s="1614">
        <v>0</v>
      </c>
      <c r="I29" s="1614">
        <v>0</v>
      </c>
      <c r="J29" s="1617">
        <v>0</v>
      </c>
      <c r="K29" s="1614">
        <v>0</v>
      </c>
      <c r="L29" s="370"/>
      <c r="Q29" s="252"/>
      <c r="R29" s="253"/>
    </row>
    <row r="30" spans="1:18" ht="11.25" customHeight="1" x14ac:dyDescent="0.25">
      <c r="A30" s="1550" t="s">
        <v>137</v>
      </c>
      <c r="B30" s="1187"/>
      <c r="C30" s="1614">
        <v>205688</v>
      </c>
      <c r="D30" s="1614">
        <v>328207</v>
      </c>
      <c r="E30" s="1615">
        <v>0</v>
      </c>
      <c r="F30" s="1616">
        <v>23754.981599999999</v>
      </c>
      <c r="G30" s="1614">
        <f>F30+[4]B2B!$I$32</f>
        <v>23754.981599999999</v>
      </c>
      <c r="H30" s="1614">
        <f>G30</f>
        <v>23754.981599999999</v>
      </c>
      <c r="I30" s="1614">
        <v>26605.579392000003</v>
      </c>
      <c r="J30" s="1617">
        <v>30064.304712960002</v>
      </c>
      <c r="K30" s="1614">
        <v>0</v>
      </c>
      <c r="L30" s="370"/>
      <c r="Q30" s="252"/>
      <c r="R30" s="253"/>
    </row>
    <row r="31" spans="1:18" ht="11.25" customHeight="1" x14ac:dyDescent="0.25">
      <c r="A31" s="1550" t="s">
        <v>292</v>
      </c>
      <c r="B31" s="1187"/>
      <c r="C31" s="1614">
        <v>6026</v>
      </c>
      <c r="D31" s="1614">
        <v>1360584</v>
      </c>
      <c r="E31" s="1615">
        <v>0</v>
      </c>
      <c r="F31" s="1616">
        <v>1505186</v>
      </c>
      <c r="G31" s="1614">
        <f>F31+[4]B2B!$I$33</f>
        <v>1508696</v>
      </c>
      <c r="H31" s="1614">
        <f>G31</f>
        <v>1508696</v>
      </c>
      <c r="I31" s="1614">
        <v>21557408</v>
      </c>
      <c r="J31" s="1617">
        <v>22585624</v>
      </c>
      <c r="K31" s="1614">
        <v>0</v>
      </c>
      <c r="L31" s="370"/>
      <c r="Q31" s="252"/>
      <c r="R31" s="253"/>
    </row>
    <row r="32" spans="1:18" ht="11.25" customHeight="1" x14ac:dyDescent="0.25">
      <c r="A32" s="1329" t="s">
        <v>1707</v>
      </c>
      <c r="B32" s="1187"/>
      <c r="C32" s="1623">
        <v>50923742</v>
      </c>
      <c r="D32" s="1623">
        <v>4485317</v>
      </c>
      <c r="E32" s="1624">
        <v>4123279.47</v>
      </c>
      <c r="F32" s="1625">
        <v>14663836</v>
      </c>
      <c r="G32" s="1614">
        <f>F32+[4]B2B!$I$34-1000</f>
        <v>4121394</v>
      </c>
      <c r="H32" s="1614">
        <f>G32</f>
        <v>4121394</v>
      </c>
      <c r="I32" s="1623">
        <f>3232700</f>
        <v>3232700</v>
      </c>
      <c r="J32" s="1626">
        <v>3259903</v>
      </c>
      <c r="K32" s="1614">
        <v>76694</v>
      </c>
      <c r="L32" s="370"/>
      <c r="Q32" s="252"/>
      <c r="R32" s="253"/>
    </row>
    <row r="33" spans="1:18" ht="11.25" customHeight="1" x14ac:dyDescent="0.25">
      <c r="A33" s="1329" t="s">
        <v>1786</v>
      </c>
      <c r="B33" s="1187"/>
      <c r="C33" s="1138">
        <f>SUM(C34:C36)</f>
        <v>10779243</v>
      </c>
      <c r="D33" s="1138">
        <f t="shared" ref="D33:K33" si="6">SUM(D34:D36)</f>
        <v>12611763</v>
      </c>
      <c r="E33" s="1509">
        <f t="shared" si="6"/>
        <v>10645403.58</v>
      </c>
      <c r="F33" s="1139">
        <f t="shared" si="6"/>
        <v>2631958</v>
      </c>
      <c r="G33" s="1138">
        <f t="shared" si="6"/>
        <v>5105990</v>
      </c>
      <c r="H33" s="1510">
        <f t="shared" si="6"/>
        <v>5105990</v>
      </c>
      <c r="I33" s="1511">
        <f t="shared" si="6"/>
        <v>100883.59058400001</v>
      </c>
      <c r="J33" s="1138">
        <f t="shared" si="6"/>
        <v>108285.10452261599</v>
      </c>
      <c r="K33" s="1510">
        <f t="shared" si="6"/>
        <v>1650</v>
      </c>
      <c r="L33" s="370"/>
      <c r="Q33" s="252"/>
      <c r="R33" s="253"/>
    </row>
    <row r="34" spans="1:18" ht="11.25" customHeight="1" x14ac:dyDescent="0.25">
      <c r="A34" s="1550" t="s">
        <v>1281</v>
      </c>
      <c r="B34" s="1187"/>
      <c r="C34" s="1614">
        <v>282</v>
      </c>
      <c r="D34" s="1614">
        <v>12488226</v>
      </c>
      <c r="E34" s="1614">
        <v>3270839.16</v>
      </c>
      <c r="F34" s="1616">
        <v>2542475</v>
      </c>
      <c r="G34" s="1614">
        <f>F34+[4]B2B!$I$36</f>
        <v>5074000</v>
      </c>
      <c r="H34" s="1614">
        <f>G34</f>
        <v>5074000</v>
      </c>
      <c r="I34" s="1614">
        <v>5765.5905839999987</v>
      </c>
      <c r="J34" s="1617">
        <v>6048.1045226159986</v>
      </c>
      <c r="K34" s="1614">
        <v>0</v>
      </c>
      <c r="L34" s="370"/>
      <c r="Q34" s="252"/>
      <c r="R34" s="253"/>
    </row>
    <row r="35" spans="1:18" ht="11.25" customHeight="1" x14ac:dyDescent="0.25">
      <c r="A35" s="1550" t="s">
        <v>628</v>
      </c>
      <c r="B35" s="1187"/>
      <c r="C35" s="1614">
        <v>0</v>
      </c>
      <c r="D35" s="1614">
        <v>0</v>
      </c>
      <c r="E35" s="1614">
        <v>0</v>
      </c>
      <c r="F35" s="1616">
        <v>0</v>
      </c>
      <c r="G35" s="1614">
        <v>0</v>
      </c>
      <c r="H35" s="1614">
        <v>0</v>
      </c>
      <c r="I35" s="1614"/>
      <c r="J35" s="1617"/>
      <c r="K35" s="1614">
        <v>0</v>
      </c>
      <c r="L35" s="370"/>
      <c r="Q35" s="252"/>
      <c r="R35" s="253"/>
    </row>
    <row r="36" spans="1:18" ht="11.25" customHeight="1" x14ac:dyDescent="0.25">
      <c r="A36" s="1550" t="s">
        <v>629</v>
      </c>
      <c r="B36" s="1187"/>
      <c r="C36" s="1614">
        <v>10778961</v>
      </c>
      <c r="D36" s="1614">
        <v>123537</v>
      </c>
      <c r="E36" s="1614">
        <v>7374564.4199999999</v>
      </c>
      <c r="F36" s="1616">
        <v>89483</v>
      </c>
      <c r="G36" s="1614">
        <f>F36+[4]B2B!$I$38</f>
        <v>31990</v>
      </c>
      <c r="H36" s="1614">
        <f>G36</f>
        <v>31990</v>
      </c>
      <c r="I36" s="1614">
        <v>95118</v>
      </c>
      <c r="J36" s="1617">
        <v>102237</v>
      </c>
      <c r="K36" s="1614">
        <v>1650</v>
      </c>
      <c r="L36" s="370"/>
      <c r="Q36" s="252"/>
      <c r="R36" s="253"/>
    </row>
    <row r="37" spans="1:18" ht="11.25" customHeight="1" x14ac:dyDescent="0.25">
      <c r="A37" s="1270" t="s">
        <v>149</v>
      </c>
      <c r="B37" s="1129"/>
      <c r="C37" s="1337">
        <f>C38+C42+C48</f>
        <v>25601178</v>
      </c>
      <c r="D37" s="1337">
        <f t="shared" ref="D37:K37" si="7">D38+D42+D48</f>
        <v>34364135</v>
      </c>
      <c r="E37" s="1506">
        <f t="shared" si="7"/>
        <v>107703550.20999998</v>
      </c>
      <c r="F37" s="1341">
        <f t="shared" si="7"/>
        <v>5721498.3266666662</v>
      </c>
      <c r="G37" s="1337">
        <f t="shared" si="7"/>
        <v>73573493.326666668</v>
      </c>
      <c r="H37" s="1507">
        <f t="shared" si="7"/>
        <v>73573493.326666668</v>
      </c>
      <c r="I37" s="1508">
        <f t="shared" si="7"/>
        <v>5349769.1838973332</v>
      </c>
      <c r="J37" s="1337">
        <f t="shared" si="7"/>
        <v>6444902.9791217428</v>
      </c>
      <c r="K37" s="1507">
        <f t="shared" si="7"/>
        <v>15521385.282752201</v>
      </c>
      <c r="L37" s="370"/>
      <c r="Q37" s="252"/>
      <c r="R37" s="253"/>
    </row>
    <row r="38" spans="1:18" ht="11.25" customHeight="1" x14ac:dyDescent="0.25">
      <c r="A38" s="1329" t="s">
        <v>150</v>
      </c>
      <c r="B38" s="1129"/>
      <c r="C38" s="1138">
        <f>SUM(C39:C41)</f>
        <v>10810786</v>
      </c>
      <c r="D38" s="1138">
        <f t="shared" ref="D38:K38" si="8">SUM(D39:D41)</f>
        <v>5440729</v>
      </c>
      <c r="E38" s="1509">
        <f t="shared" si="8"/>
        <v>40593407.229999997</v>
      </c>
      <c r="F38" s="1139">
        <f t="shared" si="8"/>
        <v>4788358</v>
      </c>
      <c r="G38" s="1138">
        <f t="shared" si="8"/>
        <v>18097952</v>
      </c>
      <c r="H38" s="1510">
        <f t="shared" si="8"/>
        <v>18097952</v>
      </c>
      <c r="I38" s="1511">
        <f t="shared" si="8"/>
        <v>4342171</v>
      </c>
      <c r="J38" s="1138">
        <f t="shared" si="8"/>
        <v>5354081</v>
      </c>
      <c r="K38" s="1510">
        <f t="shared" si="8"/>
        <v>15026219.282752201</v>
      </c>
      <c r="L38" s="370"/>
      <c r="Q38" s="252"/>
      <c r="R38" s="253"/>
    </row>
    <row r="39" spans="1:18" ht="11.25" customHeight="1" x14ac:dyDescent="0.25">
      <c r="A39" s="1550" t="s">
        <v>568</v>
      </c>
      <c r="B39" s="1129"/>
      <c r="C39" s="1614">
        <v>10297686</v>
      </c>
      <c r="D39" s="1614">
        <v>4918685</v>
      </c>
      <c r="E39" s="1614">
        <v>36969805</v>
      </c>
      <c r="F39" s="1616">
        <v>4078035</v>
      </c>
      <c r="G39" s="1614">
        <f>F39+[5]B2B!$I$41</f>
        <v>17503100</v>
      </c>
      <c r="H39" s="1614">
        <f>G39</f>
        <v>17503100</v>
      </c>
      <c r="I39" s="1614">
        <v>4294171</v>
      </c>
      <c r="J39" s="1617">
        <v>4504586</v>
      </c>
      <c r="K39" s="1614">
        <v>11994304.509838201</v>
      </c>
      <c r="L39" s="370"/>
      <c r="Q39" s="252"/>
      <c r="R39" s="253"/>
    </row>
    <row r="40" spans="1:18" ht="11.25" customHeight="1" x14ac:dyDescent="0.25">
      <c r="A40" s="1550" t="s">
        <v>626</v>
      </c>
      <c r="B40" s="1129"/>
      <c r="C40" s="1614">
        <v>0</v>
      </c>
      <c r="D40" s="1614">
        <v>0</v>
      </c>
      <c r="E40" s="1614">
        <v>2920846.54</v>
      </c>
      <c r="F40" s="1616">
        <v>0</v>
      </c>
      <c r="G40" s="1614">
        <v>0</v>
      </c>
      <c r="H40" s="1614">
        <v>0</v>
      </c>
      <c r="I40" s="1614"/>
      <c r="J40" s="1617"/>
      <c r="K40" s="1614">
        <v>2973767.7729139999</v>
      </c>
      <c r="L40" s="370"/>
      <c r="Q40" s="252"/>
      <c r="R40" s="253"/>
    </row>
    <row r="41" spans="1:18" ht="11.25" customHeight="1" x14ac:dyDescent="0.25">
      <c r="A41" s="1550" t="s">
        <v>97</v>
      </c>
      <c r="B41" s="1129"/>
      <c r="C41" s="1614">
        <v>513100</v>
      </c>
      <c r="D41" s="1614">
        <v>522044</v>
      </c>
      <c r="E41" s="1614">
        <v>702755.69</v>
      </c>
      <c r="F41" s="1616">
        <v>710323</v>
      </c>
      <c r="G41" s="1614">
        <f>F41+[4]B2B!$I$43</f>
        <v>594852</v>
      </c>
      <c r="H41" s="1614">
        <f>G41</f>
        <v>594852</v>
      </c>
      <c r="I41" s="1614">
        <v>48000</v>
      </c>
      <c r="J41" s="1617">
        <v>849495</v>
      </c>
      <c r="K41" s="1614">
        <v>58147</v>
      </c>
      <c r="L41" s="370"/>
      <c r="Q41" s="252"/>
      <c r="R41" s="253"/>
    </row>
    <row r="42" spans="1:18" ht="11.25" customHeight="1" x14ac:dyDescent="0.25">
      <c r="A42" s="1329" t="s">
        <v>151</v>
      </c>
      <c r="B42" s="1129"/>
      <c r="C42" s="1138">
        <f>SUM(C43:C47)</f>
        <v>14790392</v>
      </c>
      <c r="D42" s="1138">
        <f t="shared" ref="D42:K42" si="9">SUM(D43:D47)</f>
        <v>28923406</v>
      </c>
      <c r="E42" s="1509">
        <f t="shared" si="9"/>
        <v>67110142.979999989</v>
      </c>
      <c r="F42" s="1139">
        <f t="shared" si="9"/>
        <v>933140.32666666643</v>
      </c>
      <c r="G42" s="1138">
        <f t="shared" si="9"/>
        <v>55475541.326666668</v>
      </c>
      <c r="H42" s="1510">
        <f t="shared" si="9"/>
        <v>55475541.326666668</v>
      </c>
      <c r="I42" s="1511">
        <f t="shared" si="9"/>
        <v>1007598.183897333</v>
      </c>
      <c r="J42" s="1138">
        <f t="shared" si="9"/>
        <v>1090821.9791217423</v>
      </c>
      <c r="K42" s="1510">
        <f t="shared" si="9"/>
        <v>495166</v>
      </c>
      <c r="L42" s="370"/>
      <c r="Q42" s="252"/>
      <c r="R42" s="253"/>
    </row>
    <row r="43" spans="1:18" ht="11.25" customHeight="1" x14ac:dyDescent="0.25">
      <c r="A43" s="1550" t="s">
        <v>734</v>
      </c>
      <c r="B43" s="1129"/>
      <c r="C43" s="1614">
        <v>11890572</v>
      </c>
      <c r="D43" s="1614">
        <v>15262746</v>
      </c>
      <c r="E43" s="1614">
        <v>45267385.829999998</v>
      </c>
      <c r="F43" s="1616">
        <v>3305</v>
      </c>
      <c r="G43" s="1614">
        <f>F43+934000</f>
        <v>937305</v>
      </c>
      <c r="H43" s="1614">
        <f>G43</f>
        <v>937305</v>
      </c>
      <c r="I43" s="1614">
        <v>3569</v>
      </c>
      <c r="J43" s="1617">
        <v>3865</v>
      </c>
      <c r="K43" s="1614">
        <v>215625</v>
      </c>
      <c r="L43" s="370"/>
      <c r="Q43" s="252"/>
      <c r="R43" s="253"/>
    </row>
    <row r="44" spans="1:18" ht="11.25" customHeight="1" x14ac:dyDescent="0.25">
      <c r="A44" s="1550" t="s">
        <v>735</v>
      </c>
      <c r="B44" s="1129"/>
      <c r="C44" s="1614">
        <v>2069670</v>
      </c>
      <c r="D44" s="1614">
        <v>12686769</v>
      </c>
      <c r="E44" s="1614">
        <v>21842757.149999999</v>
      </c>
      <c r="F44" s="1616">
        <v>245657.68533333339</v>
      </c>
      <c r="G44" s="1614">
        <f>F44+[4]B2B!$I$46</f>
        <v>53747189.685333334</v>
      </c>
      <c r="H44" s="1614">
        <f>G44</f>
        <v>53747189.685333334</v>
      </c>
      <c r="I44" s="1614">
        <v>275136.60757333343</v>
      </c>
      <c r="J44" s="1617">
        <v>310904.36655786674</v>
      </c>
      <c r="K44" s="1614">
        <v>279541</v>
      </c>
      <c r="L44" s="370"/>
      <c r="Q44" s="252"/>
      <c r="R44" s="253"/>
    </row>
    <row r="45" spans="1:18" ht="11.25" customHeight="1" x14ac:dyDescent="0.25">
      <c r="A45" s="1550" t="s">
        <v>736</v>
      </c>
      <c r="B45" s="1129"/>
      <c r="C45" s="1614">
        <v>670804</v>
      </c>
      <c r="D45" s="1614">
        <v>785680</v>
      </c>
      <c r="E45" s="1614">
        <v>0</v>
      </c>
      <c r="F45" s="1616">
        <v>558017.64133333298</v>
      </c>
      <c r="G45" s="1614">
        <f>F45+[4]B2B!$I$47</f>
        <v>627821.64133333298</v>
      </c>
      <c r="H45" s="1614">
        <f>G45</f>
        <v>627821.64133333298</v>
      </c>
      <c r="I45" s="1614">
        <v>587592.57632399956</v>
      </c>
      <c r="J45" s="1617">
        <v>616384.6125638755</v>
      </c>
      <c r="K45" s="1614">
        <v>0</v>
      </c>
      <c r="L45" s="370"/>
      <c r="Q45" s="252"/>
      <c r="R45" s="253"/>
    </row>
    <row r="46" spans="1:18" ht="11.25" customHeight="1" x14ac:dyDescent="0.25">
      <c r="A46" s="1550" t="s">
        <v>816</v>
      </c>
      <c r="B46" s="1129"/>
      <c r="C46" s="1614">
        <v>0</v>
      </c>
      <c r="D46" s="1614">
        <v>0</v>
      </c>
      <c r="E46" s="1614">
        <v>0</v>
      </c>
      <c r="F46" s="1616">
        <v>0</v>
      </c>
      <c r="G46" s="1614">
        <v>0</v>
      </c>
      <c r="H46" s="1614">
        <v>0</v>
      </c>
      <c r="I46" s="1614"/>
      <c r="J46" s="1617"/>
      <c r="K46" s="1614">
        <v>0</v>
      </c>
      <c r="L46" s="370"/>
      <c r="Q46" s="252"/>
      <c r="R46" s="253"/>
    </row>
    <row r="47" spans="1:18" ht="11.25" customHeight="1" x14ac:dyDescent="0.25">
      <c r="A47" s="1550" t="s">
        <v>292</v>
      </c>
      <c r="B47" s="1129"/>
      <c r="C47" s="1614">
        <v>159346</v>
      </c>
      <c r="D47" s="1614">
        <v>188211</v>
      </c>
      <c r="E47" s="1614">
        <v>0</v>
      </c>
      <c r="F47" s="1616">
        <v>126160</v>
      </c>
      <c r="G47" s="1614">
        <f>F47+[4]B2B!$I$49</f>
        <v>163225</v>
      </c>
      <c r="H47" s="1614">
        <f>G47</f>
        <v>163225</v>
      </c>
      <c r="I47" s="1614">
        <v>141300</v>
      </c>
      <c r="J47" s="1617">
        <v>159668</v>
      </c>
      <c r="K47" s="1614">
        <v>0</v>
      </c>
      <c r="L47" s="370"/>
      <c r="Q47" s="252"/>
      <c r="R47" s="253"/>
    </row>
    <row r="48" spans="1:18" ht="11.25" customHeight="1" x14ac:dyDescent="0.25">
      <c r="A48" s="1329" t="s">
        <v>152</v>
      </c>
      <c r="B48" s="1129"/>
      <c r="C48" s="1138">
        <f>SUM(C49:C51)</f>
        <v>0</v>
      </c>
      <c r="D48" s="1138">
        <f t="shared" ref="D48:K48" si="10">SUM(D49:D51)</f>
        <v>0</v>
      </c>
      <c r="E48" s="1509">
        <f t="shared" si="10"/>
        <v>0</v>
      </c>
      <c r="F48" s="1139">
        <f t="shared" si="10"/>
        <v>0</v>
      </c>
      <c r="G48" s="1138">
        <f t="shared" si="10"/>
        <v>0</v>
      </c>
      <c r="H48" s="1510">
        <f t="shared" si="10"/>
        <v>0</v>
      </c>
      <c r="I48" s="1511">
        <f t="shared" si="10"/>
        <v>0</v>
      </c>
      <c r="J48" s="1138">
        <f t="shared" si="10"/>
        <v>0</v>
      </c>
      <c r="K48" s="1510">
        <f t="shared" si="10"/>
        <v>0</v>
      </c>
      <c r="L48" s="370"/>
      <c r="Q48" s="252"/>
      <c r="R48" s="253"/>
    </row>
    <row r="49" spans="1:18" ht="11.25" customHeight="1" x14ac:dyDescent="0.25">
      <c r="A49" s="1550" t="s">
        <v>728</v>
      </c>
      <c r="B49" s="1129"/>
      <c r="C49" s="1614"/>
      <c r="D49" s="1614"/>
      <c r="E49" s="1615"/>
      <c r="F49" s="1616"/>
      <c r="G49" s="1614">
        <v>0</v>
      </c>
      <c r="H49" s="1617"/>
      <c r="I49" s="1618"/>
      <c r="J49" s="1614"/>
      <c r="K49" s="1617"/>
      <c r="L49" s="370"/>
      <c r="Q49" s="252"/>
      <c r="R49" s="253"/>
    </row>
    <row r="50" spans="1:18" ht="11.25" customHeight="1" x14ac:dyDescent="0.25">
      <c r="A50" s="1550" t="s">
        <v>729</v>
      </c>
      <c r="B50" s="1129"/>
      <c r="C50" s="1614"/>
      <c r="D50" s="1614"/>
      <c r="E50" s="1615"/>
      <c r="F50" s="1616"/>
      <c r="G50" s="1614">
        <v>0</v>
      </c>
      <c r="H50" s="1617"/>
      <c r="I50" s="1618"/>
      <c r="J50" s="1614"/>
      <c r="K50" s="1617"/>
      <c r="L50" s="370"/>
      <c r="Q50" s="252"/>
      <c r="R50" s="253"/>
    </row>
    <row r="51" spans="1:18" ht="11.25" customHeight="1" x14ac:dyDescent="0.25">
      <c r="A51" s="1550" t="s">
        <v>292</v>
      </c>
      <c r="B51" s="1129"/>
      <c r="C51" s="1614"/>
      <c r="D51" s="1614"/>
      <c r="E51" s="1615"/>
      <c r="F51" s="1616"/>
      <c r="G51" s="1614">
        <v>0</v>
      </c>
      <c r="H51" s="1617"/>
      <c r="I51" s="1618"/>
      <c r="J51" s="1614"/>
      <c r="K51" s="1617"/>
      <c r="L51" s="370"/>
      <c r="Q51" s="252"/>
      <c r="R51" s="253"/>
    </row>
    <row r="52" spans="1:18" ht="11.25" customHeight="1" x14ac:dyDescent="0.25">
      <c r="A52" s="1270" t="s">
        <v>153</v>
      </c>
      <c r="B52" s="1129"/>
      <c r="C52" s="1337">
        <f>C53+C56+C59+C63</f>
        <v>1462671512</v>
      </c>
      <c r="D52" s="1337">
        <f t="shared" ref="D52:J52" si="11">D53+D56+D59+D63</f>
        <v>1762600060</v>
      </c>
      <c r="E52" s="1506">
        <f t="shared" si="11"/>
        <v>1591447727.6399999</v>
      </c>
      <c r="F52" s="1341">
        <f t="shared" si="11"/>
        <v>2268707502</v>
      </c>
      <c r="G52" s="1337">
        <f t="shared" si="11"/>
        <v>2122114132</v>
      </c>
      <c r="H52" s="1507">
        <f t="shared" si="11"/>
        <v>2122114132</v>
      </c>
      <c r="I52" s="1508">
        <f t="shared" si="11"/>
        <v>2263173334.6158814</v>
      </c>
      <c r="J52" s="1337">
        <f t="shared" si="11"/>
        <v>2507784559.1600595</v>
      </c>
      <c r="K52" s="1507">
        <f>K53+K56+K59+K63</f>
        <v>2903198698.265336</v>
      </c>
      <c r="L52" s="370"/>
      <c r="Q52" s="252"/>
      <c r="R52" s="253"/>
    </row>
    <row r="53" spans="1:18" ht="11.25" customHeight="1" x14ac:dyDescent="0.25">
      <c r="A53" s="1329" t="s">
        <v>652</v>
      </c>
      <c r="B53" s="1129"/>
      <c r="C53" s="1138">
        <f>SUM(C54:C55)</f>
        <v>945257013</v>
      </c>
      <c r="D53" s="1138">
        <f t="shared" ref="D53:K53" si="12">SUM(D54:D55)</f>
        <v>1069468178</v>
      </c>
      <c r="E53" s="1509">
        <f t="shared" si="12"/>
        <v>822781273.13000011</v>
      </c>
      <c r="F53" s="1139">
        <f t="shared" si="12"/>
        <v>1557285281</v>
      </c>
      <c r="G53" s="1138">
        <f t="shared" si="12"/>
        <v>1445524810</v>
      </c>
      <c r="H53" s="1510">
        <f t="shared" si="12"/>
        <v>1445524810</v>
      </c>
      <c r="I53" s="1511">
        <f t="shared" si="12"/>
        <v>1640104707</v>
      </c>
      <c r="J53" s="1138">
        <f t="shared" si="12"/>
        <v>1880590000</v>
      </c>
      <c r="K53" s="1510">
        <f t="shared" si="12"/>
        <v>2241937933</v>
      </c>
      <c r="L53" s="370"/>
      <c r="Q53" s="252"/>
      <c r="R53" s="253"/>
    </row>
    <row r="54" spans="1:18" ht="11.25" customHeight="1" x14ac:dyDescent="0.35">
      <c r="A54" s="1550" t="s">
        <v>739</v>
      </c>
      <c r="B54" s="1129"/>
      <c r="C54" s="1614">
        <v>945257013</v>
      </c>
      <c r="D54" s="1614">
        <v>1069468178</v>
      </c>
      <c r="E54" s="1614">
        <f>1261723273.13-438942000</f>
        <v>822781273.13000011</v>
      </c>
      <c r="F54" s="1616">
        <v>1557285281</v>
      </c>
      <c r="G54" s="1614">
        <f>F54+[4]B2B!$I$56</f>
        <v>1445524810</v>
      </c>
      <c r="H54" s="1614">
        <f>G54</f>
        <v>1445524810</v>
      </c>
      <c r="I54" s="1672">
        <f>1640104707-1000000-41000000+207477000-165477000</f>
        <v>1640104707</v>
      </c>
      <c r="J54" s="1673">
        <f>1836918000-43672000+87344000</f>
        <v>1880590000</v>
      </c>
      <c r="K54" s="2605">
        <f>1404647933+837290000</f>
        <v>2241937933</v>
      </c>
      <c r="L54" s="370"/>
      <c r="Q54" s="252"/>
      <c r="R54" s="253"/>
    </row>
    <row r="55" spans="1:18" ht="11.25" customHeight="1" x14ac:dyDescent="0.25">
      <c r="A55" s="1550" t="s">
        <v>94</v>
      </c>
      <c r="B55" s="1129"/>
      <c r="C55" s="1614"/>
      <c r="D55" s="1614"/>
      <c r="E55" s="1614">
        <v>0</v>
      </c>
      <c r="F55" s="1616">
        <v>0</v>
      </c>
      <c r="G55" s="1614">
        <v>0</v>
      </c>
      <c r="H55" s="1614">
        <v>0</v>
      </c>
      <c r="I55" s="1618">
        <v>0</v>
      </c>
      <c r="J55" s="1614">
        <v>0</v>
      </c>
      <c r="K55" s="1614">
        <v>0</v>
      </c>
      <c r="L55" s="370"/>
      <c r="Q55" s="252"/>
      <c r="R55" s="253"/>
    </row>
    <row r="56" spans="1:18" ht="11.25" customHeight="1" x14ac:dyDescent="0.25">
      <c r="A56" s="1329" t="s">
        <v>953</v>
      </c>
      <c r="B56" s="1129"/>
      <c r="C56" s="1138">
        <f>SUM(C57:C58)</f>
        <v>307000520</v>
      </c>
      <c r="D56" s="1138">
        <f t="shared" ref="D56:K56" si="13">SUM(D57:D58)</f>
        <v>473548549</v>
      </c>
      <c r="E56" s="1509">
        <f t="shared" si="13"/>
        <v>508027515.88999993</v>
      </c>
      <c r="F56" s="1139">
        <f t="shared" si="13"/>
        <v>398569194</v>
      </c>
      <c r="G56" s="1138">
        <f t="shared" si="13"/>
        <v>452682346</v>
      </c>
      <c r="H56" s="1510">
        <f t="shared" si="13"/>
        <v>452682346</v>
      </c>
      <c r="I56" s="1511">
        <f t="shared" si="13"/>
        <v>392974307</v>
      </c>
      <c r="J56" s="1138">
        <f t="shared" si="13"/>
        <v>383327344.148</v>
      </c>
      <c r="K56" s="1510">
        <f t="shared" si="13"/>
        <v>411585779</v>
      </c>
      <c r="L56" s="370"/>
      <c r="Q56" s="252"/>
      <c r="R56" s="253"/>
    </row>
    <row r="57" spans="1:18" ht="11.25" customHeight="1" x14ac:dyDescent="0.35">
      <c r="A57" s="1550" t="s">
        <v>737</v>
      </c>
      <c r="B57" s="1129"/>
      <c r="C57" s="1614">
        <v>307000520</v>
      </c>
      <c r="D57" s="1614">
        <v>473548549</v>
      </c>
      <c r="E57" s="1614">
        <v>508027515.88999993</v>
      </c>
      <c r="F57" s="1616">
        <v>398569194</v>
      </c>
      <c r="G57" s="1614">
        <f>F57+[5]B2B!$I$59</f>
        <v>452682346</v>
      </c>
      <c r="H57" s="1614">
        <f>G57</f>
        <v>452682346</v>
      </c>
      <c r="I57" s="1680">
        <v>392974307</v>
      </c>
      <c r="J57" s="1681">
        <f>426999344.148+J58-43672000</f>
        <v>383327344.148</v>
      </c>
      <c r="K57" s="2605">
        <v>411585779</v>
      </c>
      <c r="L57" s="370"/>
      <c r="Q57" s="252"/>
      <c r="R57" s="253"/>
    </row>
    <row r="58" spans="1:18" ht="11.25" customHeight="1" x14ac:dyDescent="0.25">
      <c r="A58" s="1550" t="s">
        <v>738</v>
      </c>
      <c r="B58" s="1129"/>
      <c r="C58" s="1614"/>
      <c r="D58" s="1614"/>
      <c r="E58" s="1614">
        <v>0</v>
      </c>
      <c r="F58" s="1616"/>
      <c r="G58" s="1614">
        <v>0</v>
      </c>
      <c r="H58" s="1614">
        <v>0</v>
      </c>
      <c r="I58" s="1618"/>
      <c r="J58" s="1614"/>
      <c r="K58" s="1614">
        <v>0</v>
      </c>
      <c r="L58" s="370"/>
      <c r="Q58" s="252"/>
      <c r="R58" s="253"/>
    </row>
    <row r="59" spans="1:18" ht="11.25" customHeight="1" x14ac:dyDescent="0.25">
      <c r="A59" s="1329" t="s">
        <v>1130</v>
      </c>
      <c r="B59" s="1129"/>
      <c r="C59" s="1138">
        <f>SUM(C60:C62)</f>
        <v>144854613</v>
      </c>
      <c r="D59" s="1138">
        <f t="shared" ref="D59:K59" si="14">SUM(D60:D62)</f>
        <v>142223403</v>
      </c>
      <c r="E59" s="1509">
        <f t="shared" si="14"/>
        <v>170204525</v>
      </c>
      <c r="F59" s="1139">
        <f t="shared" si="14"/>
        <v>174131929</v>
      </c>
      <c r="G59" s="1138">
        <f t="shared" si="14"/>
        <v>138096858</v>
      </c>
      <c r="H59" s="1510">
        <f t="shared" si="14"/>
        <v>138096858</v>
      </c>
      <c r="I59" s="1511">
        <f t="shared" si="14"/>
        <v>144974416.61588159</v>
      </c>
      <c r="J59" s="1138">
        <f t="shared" si="14"/>
        <v>148808351.01205981</v>
      </c>
      <c r="K59" s="1510">
        <f t="shared" si="14"/>
        <v>151784000</v>
      </c>
      <c r="L59" s="370"/>
      <c r="Q59" s="252"/>
      <c r="R59" s="253"/>
    </row>
    <row r="60" spans="1:18" ht="11.25" customHeight="1" x14ac:dyDescent="0.35">
      <c r="A60" s="1550" t="s">
        <v>731</v>
      </c>
      <c r="B60" s="1129"/>
      <c r="C60" s="1614">
        <v>144850885</v>
      </c>
      <c r="D60" s="1614">
        <v>142218530</v>
      </c>
      <c r="E60" s="1614">
        <v>170204525</v>
      </c>
      <c r="F60" s="1616">
        <v>174131929</v>
      </c>
      <c r="G60" s="1614">
        <f>F60+[5]B2B!$I$62</f>
        <v>138096858</v>
      </c>
      <c r="H60" s="1614">
        <f>G60</f>
        <v>138096858</v>
      </c>
      <c r="I60" s="1680">
        <v>144974082</v>
      </c>
      <c r="J60" s="1681">
        <f>148808000</f>
        <v>148808000</v>
      </c>
      <c r="K60" s="2605">
        <f>151784000</f>
        <v>151784000</v>
      </c>
      <c r="L60" s="370"/>
      <c r="Q60" s="252"/>
      <c r="R60" s="253"/>
    </row>
    <row r="61" spans="1:18" ht="11.25" customHeight="1" x14ac:dyDescent="0.25">
      <c r="A61" s="1550" t="s">
        <v>732</v>
      </c>
      <c r="B61" s="1129"/>
      <c r="C61" s="1614">
        <v>3728</v>
      </c>
      <c r="D61" s="1614">
        <v>4873</v>
      </c>
      <c r="E61" s="1614">
        <v>0</v>
      </c>
      <c r="F61" s="1616">
        <v>0</v>
      </c>
      <c r="G61" s="1614">
        <v>0</v>
      </c>
      <c r="H61" s="1614">
        <v>0</v>
      </c>
      <c r="I61" s="1614">
        <v>334.61588159999997</v>
      </c>
      <c r="J61" s="1617">
        <v>351.01205979839995</v>
      </c>
      <c r="K61" s="1614">
        <v>0</v>
      </c>
      <c r="L61" s="370"/>
      <c r="Q61" s="252"/>
      <c r="R61" s="253"/>
    </row>
    <row r="62" spans="1:18" ht="11.25" customHeight="1" x14ac:dyDescent="0.25">
      <c r="A62" s="1550" t="s">
        <v>733</v>
      </c>
      <c r="B62" s="1129"/>
      <c r="C62" s="1614"/>
      <c r="D62" s="1614"/>
      <c r="E62" s="1614">
        <v>0</v>
      </c>
      <c r="F62" s="1616">
        <v>0</v>
      </c>
      <c r="G62" s="1614">
        <v>0</v>
      </c>
      <c r="H62" s="1614">
        <v>0</v>
      </c>
      <c r="I62" s="1618"/>
      <c r="J62" s="1614"/>
      <c r="K62" s="1614">
        <v>0</v>
      </c>
      <c r="L62" s="370"/>
      <c r="Q62" s="252"/>
      <c r="R62" s="253"/>
    </row>
    <row r="63" spans="1:18" ht="11.25" customHeight="1" x14ac:dyDescent="0.25">
      <c r="A63" s="1329" t="s">
        <v>1131</v>
      </c>
      <c r="B63" s="1129"/>
      <c r="C63" s="1138">
        <f>SUM(C64)</f>
        <v>65559366</v>
      </c>
      <c r="D63" s="1138">
        <f t="shared" ref="D63:K63" si="15">SUM(D64)</f>
        <v>77359930</v>
      </c>
      <c r="E63" s="1509">
        <f t="shared" si="15"/>
        <v>90434413.620000005</v>
      </c>
      <c r="F63" s="1139">
        <f t="shared" si="15"/>
        <v>138721098</v>
      </c>
      <c r="G63" s="1138">
        <f t="shared" si="15"/>
        <v>85810118</v>
      </c>
      <c r="H63" s="1510">
        <f t="shared" si="15"/>
        <v>85810118</v>
      </c>
      <c r="I63" s="1511">
        <f t="shared" si="15"/>
        <v>85119904</v>
      </c>
      <c r="J63" s="1138">
        <f t="shared" si="15"/>
        <v>95058864</v>
      </c>
      <c r="K63" s="1510">
        <f t="shared" si="15"/>
        <v>97890986.265336022</v>
      </c>
      <c r="L63" s="370"/>
      <c r="Q63" s="252"/>
      <c r="R63" s="253"/>
    </row>
    <row r="64" spans="1:18" ht="11.25" customHeight="1" x14ac:dyDescent="0.35">
      <c r="A64" s="1550" t="s">
        <v>730</v>
      </c>
      <c r="B64" s="1129"/>
      <c r="C64" s="1614">
        <v>65559366</v>
      </c>
      <c r="D64" s="1614">
        <v>77359930</v>
      </c>
      <c r="E64" s="1614">
        <v>90434413.620000005</v>
      </c>
      <c r="F64" s="1616">
        <v>138721098</v>
      </c>
      <c r="G64" s="1614">
        <f>F64+[5]B2B!$I$66</f>
        <v>85810118</v>
      </c>
      <c r="H64" s="1614">
        <f>G64</f>
        <v>85810118</v>
      </c>
      <c r="I64" s="1614">
        <v>85119904</v>
      </c>
      <c r="J64" s="1634">
        <f>90480019+J66</f>
        <v>95058864</v>
      </c>
      <c r="K64" s="2605">
        <v>97890986.265336022</v>
      </c>
      <c r="L64" s="370"/>
      <c r="Q64" s="252"/>
      <c r="R64" s="253"/>
    </row>
    <row r="65" spans="1:18" ht="11.25" customHeight="1" x14ac:dyDescent="0.25">
      <c r="A65" s="1270" t="s">
        <v>292</v>
      </c>
      <c r="B65" s="1129"/>
      <c r="C65" s="1337">
        <f>SUM(C66:C70)</f>
        <v>29661732</v>
      </c>
      <c r="D65" s="1337">
        <f t="shared" ref="D65:K65" si="16">SUM(D66:D70)</f>
        <v>44062349</v>
      </c>
      <c r="E65" s="1506">
        <f t="shared" si="16"/>
        <v>28968399.120000001</v>
      </c>
      <c r="F65" s="1341">
        <f t="shared" si="16"/>
        <v>18309344</v>
      </c>
      <c r="G65" s="1337">
        <f t="shared" si="16"/>
        <v>19079660</v>
      </c>
      <c r="H65" s="1507">
        <f t="shared" si="16"/>
        <v>19079660</v>
      </c>
      <c r="I65" s="1508">
        <f>SUM(I66:I70)</f>
        <v>226530813</v>
      </c>
      <c r="J65" s="1337">
        <f t="shared" si="16"/>
        <v>80547835</v>
      </c>
      <c r="K65" s="1507">
        <f t="shared" si="16"/>
        <v>94083149</v>
      </c>
      <c r="L65" s="370"/>
      <c r="Q65" s="252"/>
      <c r="R65" s="253"/>
    </row>
    <row r="66" spans="1:18" ht="11.25" customHeight="1" x14ac:dyDescent="0.25">
      <c r="A66" s="1329" t="s">
        <v>95</v>
      </c>
      <c r="B66" s="1129"/>
      <c r="C66" s="1614">
        <v>2255854</v>
      </c>
      <c r="D66" s="1614">
        <v>14892545</v>
      </c>
      <c r="E66" s="1614">
        <v>13530195.82</v>
      </c>
      <c r="F66" s="1616">
        <v>4014929</v>
      </c>
      <c r="G66" s="1614">
        <f>F66+[4]B2B!$I$68</f>
        <v>3360097</v>
      </c>
      <c r="H66" s="1614">
        <f>G66</f>
        <v>3360097</v>
      </c>
      <c r="I66" s="1614">
        <f>4287631+30302000</f>
        <v>34589631</v>
      </c>
      <c r="J66" s="1617">
        <v>4578845</v>
      </c>
      <c r="K66" s="1614">
        <v>4337058</v>
      </c>
      <c r="L66" s="370"/>
      <c r="Q66" s="252"/>
      <c r="R66" s="253"/>
    </row>
    <row r="67" spans="1:18" ht="11.25" customHeight="1" x14ac:dyDescent="0.25">
      <c r="A67" s="1329" t="s">
        <v>1242</v>
      </c>
      <c r="B67" s="1129"/>
      <c r="C67" s="1614">
        <v>0</v>
      </c>
      <c r="D67" s="1614">
        <v>0</v>
      </c>
      <c r="E67" s="1614">
        <v>0</v>
      </c>
      <c r="F67" s="1616">
        <v>0</v>
      </c>
      <c r="G67" s="1614">
        <v>0</v>
      </c>
      <c r="H67" s="1614">
        <v>0</v>
      </c>
      <c r="I67" s="1614">
        <v>0</v>
      </c>
      <c r="J67" s="1614">
        <v>0</v>
      </c>
      <c r="K67" s="1614">
        <v>0</v>
      </c>
      <c r="L67" s="370"/>
      <c r="Q67" s="252"/>
      <c r="R67" s="253"/>
    </row>
    <row r="68" spans="1:18" ht="11.25" customHeight="1" x14ac:dyDescent="0.25">
      <c r="A68" s="1329" t="s">
        <v>627</v>
      </c>
      <c r="B68" s="1129"/>
      <c r="C68" s="1614">
        <v>0</v>
      </c>
      <c r="D68" s="1614">
        <v>0</v>
      </c>
      <c r="E68" s="1614">
        <v>0</v>
      </c>
      <c r="F68" s="1616">
        <v>0</v>
      </c>
      <c r="G68" s="1614">
        <v>0</v>
      </c>
      <c r="H68" s="1614">
        <v>0</v>
      </c>
      <c r="I68" s="1614">
        <v>0</v>
      </c>
      <c r="J68" s="1614">
        <v>0</v>
      </c>
      <c r="K68" s="1614">
        <v>0</v>
      </c>
      <c r="L68" s="370"/>
      <c r="Q68" s="252"/>
      <c r="R68" s="253"/>
    </row>
    <row r="69" spans="1:18" ht="11.25" customHeight="1" x14ac:dyDescent="0.25">
      <c r="A69" s="1329" t="s">
        <v>96</v>
      </c>
      <c r="B69" s="1187"/>
      <c r="C69" s="1614">
        <v>10327267</v>
      </c>
      <c r="D69" s="1614">
        <v>11989359</v>
      </c>
      <c r="E69" s="1614">
        <v>0</v>
      </c>
      <c r="F69" s="1616">
        <v>0</v>
      </c>
      <c r="G69" s="1614">
        <v>0</v>
      </c>
      <c r="H69" s="1614">
        <v>0</v>
      </c>
      <c r="I69" s="1614">
        <v>0</v>
      </c>
      <c r="J69" s="1614">
        <v>0</v>
      </c>
      <c r="K69" s="1614">
        <v>0</v>
      </c>
      <c r="L69" s="370"/>
      <c r="Q69" s="252"/>
      <c r="R69" s="253"/>
    </row>
    <row r="70" spans="1:18" ht="11.25" customHeight="1" x14ac:dyDescent="0.25">
      <c r="A70" s="1329" t="s">
        <v>1243</v>
      </c>
      <c r="B70" s="1187"/>
      <c r="C70" s="1614">
        <v>17078611</v>
      </c>
      <c r="D70" s="1614">
        <v>17180445</v>
      </c>
      <c r="E70" s="1614">
        <f>17408203.3-1970000</f>
        <v>15438203.300000001</v>
      </c>
      <c r="F70" s="1616">
        <v>14294415</v>
      </c>
      <c r="G70" s="1614">
        <f>F70+[4]B2B!$I$72-382000</f>
        <v>15719563</v>
      </c>
      <c r="H70" s="1614">
        <f>G70</f>
        <v>15719563</v>
      </c>
      <c r="I70" s="1614">
        <f>15062182+250312000-73433000</f>
        <v>191941182</v>
      </c>
      <c r="J70" s="1617">
        <f>15813990+75021000-14866000</f>
        <v>75968990</v>
      </c>
      <c r="K70" s="1614">
        <f>18084091+205262000-133600000</f>
        <v>89746091</v>
      </c>
      <c r="L70" s="370"/>
      <c r="Q70" s="252"/>
      <c r="R70" s="253"/>
    </row>
    <row r="71" spans="1:18" ht="11.25" customHeight="1" x14ac:dyDescent="0.25">
      <c r="A71" s="1188" t="str">
        <f>"Total "&amp;A4</f>
        <v>Total Revenue - Standard</v>
      </c>
      <c r="B71" s="1187">
        <v>2</v>
      </c>
      <c r="C71" s="267">
        <f>C5+C15+C37+C52+C65</f>
        <v>2575836192</v>
      </c>
      <c r="D71" s="267">
        <f>D5+D15+D37+D52+D65</f>
        <v>2901980633</v>
      </c>
      <c r="E71" s="1516">
        <f t="shared" ref="E71:J71" si="17">E5+E15+E37+E52+E65</f>
        <v>2887563709.1499996</v>
      </c>
      <c r="F71" s="270">
        <f t="shared" si="17"/>
        <v>2987789760.3082666</v>
      </c>
      <c r="G71" s="267">
        <f>G5+G15+G37+G52+G65</f>
        <v>3138030789.3082666</v>
      </c>
      <c r="H71" s="1517">
        <f>H5+H15+H37+H52+H65</f>
        <v>3138030789.3082666</v>
      </c>
      <c r="I71" s="1518">
        <f t="shared" si="17"/>
        <v>3540413848.9697547</v>
      </c>
      <c r="J71" s="267">
        <f t="shared" si="17"/>
        <v>3722549128.5484166</v>
      </c>
      <c r="K71" s="1517">
        <f>K5+K15+K37+K52+K65</f>
        <v>4053497623.5042105</v>
      </c>
      <c r="L71" s="370"/>
      <c r="Q71" s="271"/>
      <c r="R71" s="272"/>
    </row>
    <row r="72" spans="1:18" ht="5.15" customHeight="1" x14ac:dyDescent="0.25">
      <c r="A72" s="1149"/>
      <c r="B72" s="1187"/>
      <c r="C72" s="203"/>
      <c r="D72" s="203"/>
      <c r="E72" s="204"/>
      <c r="F72" s="205"/>
      <c r="G72" s="203"/>
      <c r="H72" s="202"/>
      <c r="I72" s="206"/>
      <c r="J72" s="203"/>
      <c r="K72" s="204"/>
      <c r="L72" s="370"/>
      <c r="Q72" s="245"/>
    </row>
    <row r="73" spans="1:18" ht="11.25" customHeight="1" x14ac:dyDescent="0.25">
      <c r="A73" s="1128" t="s">
        <v>430</v>
      </c>
      <c r="B73" s="1189"/>
      <c r="C73" s="203"/>
      <c r="D73" s="203"/>
      <c r="E73" s="204"/>
      <c r="F73" s="205"/>
      <c r="G73" s="203"/>
      <c r="H73" s="202"/>
      <c r="I73" s="206"/>
      <c r="J73" s="203"/>
      <c r="K73" s="204"/>
      <c r="L73" s="370"/>
      <c r="Q73" s="245"/>
    </row>
    <row r="74" spans="1:18" ht="11.25" customHeight="1" x14ac:dyDescent="0.25">
      <c r="A74" s="1270" t="str">
        <f>A5</f>
        <v>Municipal governance and administration</v>
      </c>
      <c r="B74" s="1189"/>
      <c r="C74" s="1337">
        <f t="shared" ref="C74:K74" si="18">C75+C78+C79</f>
        <v>514290194</v>
      </c>
      <c r="D74" s="1337">
        <f t="shared" si="18"/>
        <v>562610980</v>
      </c>
      <c r="E74" s="1506">
        <f t="shared" si="18"/>
        <v>488014642.32000005</v>
      </c>
      <c r="F74" s="1341">
        <f t="shared" si="18"/>
        <v>547848205</v>
      </c>
      <c r="G74" s="1337">
        <f t="shared" si="18"/>
        <v>475335569</v>
      </c>
      <c r="H74" s="1507">
        <f t="shared" si="18"/>
        <v>475335569</v>
      </c>
      <c r="I74" s="1508">
        <f t="shared" si="18"/>
        <v>727400360</v>
      </c>
      <c r="J74" s="1337">
        <f t="shared" si="18"/>
        <v>741406413</v>
      </c>
      <c r="K74" s="1507">
        <f t="shared" si="18"/>
        <v>678507654</v>
      </c>
      <c r="L74" s="370"/>
      <c r="Q74" s="245"/>
    </row>
    <row r="75" spans="1:18" ht="11.25" customHeight="1" x14ac:dyDescent="0.25">
      <c r="A75" s="1329" t="str">
        <f t="shared" ref="A75:A138" si="19">A6</f>
        <v>Executive and council</v>
      </c>
      <c r="B75" s="1189"/>
      <c r="C75" s="1110">
        <f t="shared" ref="C75:K75" si="20">SUM(C76:C77)</f>
        <v>0</v>
      </c>
      <c r="D75" s="1110">
        <f t="shared" si="20"/>
        <v>0</v>
      </c>
      <c r="E75" s="1423">
        <f t="shared" si="20"/>
        <v>20769.719999998139</v>
      </c>
      <c r="F75" s="1111">
        <f t="shared" si="20"/>
        <v>71094465</v>
      </c>
      <c r="G75" s="1110">
        <f t="shared" si="20"/>
        <v>71529450</v>
      </c>
      <c r="H75" s="1147">
        <f t="shared" si="20"/>
        <v>71529450</v>
      </c>
      <c r="I75" s="1424">
        <f t="shared" si="20"/>
        <v>63134426</v>
      </c>
      <c r="J75" s="1110">
        <f t="shared" si="20"/>
        <v>66337300</v>
      </c>
      <c r="K75" s="1147">
        <f t="shared" si="20"/>
        <v>69711572</v>
      </c>
      <c r="L75" s="370"/>
      <c r="Q75" s="245"/>
    </row>
    <row r="76" spans="1:18" ht="11.25" customHeight="1" x14ac:dyDescent="0.25">
      <c r="A76" s="1550" t="str">
        <f t="shared" si="19"/>
        <v>Mayor and Council</v>
      </c>
      <c r="B76" s="1189"/>
      <c r="C76" s="1614">
        <v>0</v>
      </c>
      <c r="D76" s="1614"/>
      <c r="E76" s="1614">
        <v>0</v>
      </c>
      <c r="F76" s="1616">
        <v>44144028</v>
      </c>
      <c r="G76" s="1614">
        <f>F76+1829827</f>
        <v>45973855</v>
      </c>
      <c r="H76" s="1614">
        <f>G76</f>
        <v>45973855</v>
      </c>
      <c r="I76" s="1614">
        <f>22115506</f>
        <v>22115506</v>
      </c>
      <c r="J76" s="1617">
        <v>23171660</v>
      </c>
      <c r="K76" s="1614">
        <f>24279852</f>
        <v>24279852</v>
      </c>
      <c r="L76" s="370"/>
      <c r="Q76" s="245"/>
    </row>
    <row r="77" spans="1:18" ht="11.25" customHeight="1" x14ac:dyDescent="0.25">
      <c r="A77" s="1550" t="str">
        <f t="shared" si="19"/>
        <v>Municipal Manager</v>
      </c>
      <c r="B77" s="1189"/>
      <c r="C77" s="1614">
        <v>0</v>
      </c>
      <c r="D77" s="1614"/>
      <c r="E77" s="1614">
        <v>20769.719999998139</v>
      </c>
      <c r="F77" s="1616">
        <v>26950437</v>
      </c>
      <c r="G77" s="1656">
        <f>F77+-1394842</f>
        <v>25555595</v>
      </c>
      <c r="H77" s="1656">
        <f>G77</f>
        <v>25555595</v>
      </c>
      <c r="I77" s="1614">
        <f>41018920</f>
        <v>41018920</v>
      </c>
      <c r="J77" s="1617">
        <f>43165640</f>
        <v>43165640</v>
      </c>
      <c r="K77" s="1656">
        <f>45431720</f>
        <v>45431720</v>
      </c>
      <c r="L77" s="370"/>
      <c r="Q77" s="245"/>
    </row>
    <row r="78" spans="1:18" ht="11.25" customHeight="1" x14ac:dyDescent="0.25">
      <c r="A78" s="1329" t="str">
        <f t="shared" si="19"/>
        <v>Budget and treasury office</v>
      </c>
      <c r="B78" s="1189"/>
      <c r="C78" s="1619">
        <v>448665449</v>
      </c>
      <c r="D78" s="1619">
        <v>477871784</v>
      </c>
      <c r="E78" s="1614">
        <v>487363353.34000009</v>
      </c>
      <c r="F78" s="1621">
        <v>206565989</v>
      </c>
      <c r="G78" s="1614">
        <f>F78+[5]B2B!$I$80</f>
        <v>128905753</v>
      </c>
      <c r="H78" s="1614">
        <f>G78</f>
        <v>128905753</v>
      </c>
      <c r="I78" s="1619">
        <f>268888298+300000000-54561000-54561000</f>
        <v>459766298</v>
      </c>
      <c r="J78" s="1622">
        <f>284085497+300000000-78928000</f>
        <v>505157497</v>
      </c>
      <c r="K78" s="1614">
        <f>301743626+300000000-187099000</f>
        <v>414644626</v>
      </c>
      <c r="L78" s="370"/>
      <c r="Q78" s="245"/>
    </row>
    <row r="79" spans="1:18" ht="11.25" customHeight="1" x14ac:dyDescent="0.25">
      <c r="A79" s="1329" t="str">
        <f t="shared" si="19"/>
        <v>Corporate services</v>
      </c>
      <c r="B79" s="1189"/>
      <c r="C79" s="1110">
        <f t="shared" ref="C79:K79" si="21">SUM(C80:C83)</f>
        <v>65624745</v>
      </c>
      <c r="D79" s="1110">
        <f t="shared" si="21"/>
        <v>84739196</v>
      </c>
      <c r="E79" s="1423">
        <f t="shared" si="21"/>
        <v>630519.26000000443</v>
      </c>
      <c r="F79" s="1111">
        <f t="shared" si="21"/>
        <v>270187751</v>
      </c>
      <c r="G79" s="1110">
        <f t="shared" si="21"/>
        <v>274900366</v>
      </c>
      <c r="H79" s="1147">
        <f t="shared" si="21"/>
        <v>274900366</v>
      </c>
      <c r="I79" s="1424">
        <f t="shared" si="21"/>
        <v>204499636</v>
      </c>
      <c r="J79" s="1110">
        <f t="shared" si="21"/>
        <v>169911616</v>
      </c>
      <c r="K79" s="1147">
        <f t="shared" si="21"/>
        <v>194151456</v>
      </c>
      <c r="L79" s="370"/>
      <c r="Q79" s="245"/>
    </row>
    <row r="80" spans="1:18" ht="11.25" customHeight="1" x14ac:dyDescent="0.25">
      <c r="A80" s="1550" t="str">
        <f t="shared" si="19"/>
        <v>Human Resources</v>
      </c>
      <c r="B80" s="1189"/>
      <c r="C80" s="1614">
        <v>10051</v>
      </c>
      <c r="D80" s="1614">
        <v>0</v>
      </c>
      <c r="E80" s="1614">
        <v>630519.2600000035</v>
      </c>
      <c r="F80" s="1616">
        <v>25127662</v>
      </c>
      <c r="G80" s="1614">
        <f>F80+6655143</f>
        <v>31782805</v>
      </c>
      <c r="H80" s="1614">
        <f>G80</f>
        <v>31782805</v>
      </c>
      <c r="I80" s="1614">
        <f>41292125</f>
        <v>41292125</v>
      </c>
      <c r="J80" s="1617">
        <v>42808833</v>
      </c>
      <c r="K80" s="1614">
        <f>44131417</f>
        <v>44131417</v>
      </c>
      <c r="L80" s="370"/>
      <c r="Q80" s="245"/>
    </row>
    <row r="81" spans="1:17" ht="11.25" customHeight="1" x14ac:dyDescent="0.25">
      <c r="A81" s="1550" t="str">
        <f t="shared" si="19"/>
        <v>Information Technology</v>
      </c>
      <c r="B81" s="1189"/>
      <c r="C81" s="1614">
        <v>-6496</v>
      </c>
      <c r="D81" s="1614">
        <v>0</v>
      </c>
      <c r="E81" s="1614">
        <v>0</v>
      </c>
      <c r="F81" s="1616">
        <v>31876091</v>
      </c>
      <c r="G81" s="1614">
        <f>F81+531313</f>
        <v>32407404</v>
      </c>
      <c r="H81" s="1614">
        <f>G81</f>
        <v>32407404</v>
      </c>
      <c r="I81" s="1614">
        <v>24946554</v>
      </c>
      <c r="J81" s="1617">
        <f>23279424</f>
        <v>23279424</v>
      </c>
      <c r="K81" s="1614">
        <f>54294461-25000000</f>
        <v>29294461</v>
      </c>
      <c r="L81" s="370"/>
      <c r="Q81" s="245"/>
    </row>
    <row r="82" spans="1:17" ht="11.25" customHeight="1" x14ac:dyDescent="0.25">
      <c r="A82" s="1550" t="str">
        <f t="shared" si="19"/>
        <v>Property Services</v>
      </c>
      <c r="B82" s="1189"/>
      <c r="C82" s="1614">
        <v>25762376</v>
      </c>
      <c r="D82" s="1614">
        <v>46722639</v>
      </c>
      <c r="E82" s="1614">
        <v>0</v>
      </c>
      <c r="F82" s="1616">
        <v>77425072</v>
      </c>
      <c r="G82" s="1614">
        <f>F82+-4334787</f>
        <v>73090285</v>
      </c>
      <c r="H82" s="1614">
        <f>G82</f>
        <v>73090285</v>
      </c>
      <c r="I82" s="1614">
        <f>63069957</f>
        <v>63069957</v>
      </c>
      <c r="J82" s="1617">
        <v>57505359</v>
      </c>
      <c r="K82" s="1614">
        <f>59006578</f>
        <v>59006578</v>
      </c>
      <c r="L82" s="370"/>
      <c r="Q82" s="245"/>
    </row>
    <row r="83" spans="1:17" ht="11.25" customHeight="1" x14ac:dyDescent="0.25">
      <c r="A83" s="1550" t="str">
        <f t="shared" si="19"/>
        <v>Other Admin</v>
      </c>
      <c r="B83" s="1189"/>
      <c r="C83" s="1614">
        <v>39858814</v>
      </c>
      <c r="D83" s="1614">
        <v>38016557</v>
      </c>
      <c r="E83" s="1614">
        <v>9.3132257461547852E-10</v>
      </c>
      <c r="F83" s="1616">
        <v>135758926</v>
      </c>
      <c r="G83" s="1614">
        <f>F83+1860946</f>
        <v>137619872</v>
      </c>
      <c r="H83" s="1614">
        <f>G83</f>
        <v>137619872</v>
      </c>
      <c r="I83" s="1614">
        <f>75000000+191000</f>
        <v>75191000</v>
      </c>
      <c r="J83" s="1617">
        <f>46318000</f>
        <v>46318000</v>
      </c>
      <c r="K83" s="1614">
        <f>81719000-20000000</f>
        <v>61719000</v>
      </c>
      <c r="L83" s="370"/>
      <c r="Q83" s="245"/>
    </row>
    <row r="84" spans="1:17" ht="11.25" customHeight="1" x14ac:dyDescent="0.25">
      <c r="A84" s="1270" t="str">
        <f t="shared" si="19"/>
        <v>Community and public safety</v>
      </c>
      <c r="B84" s="1189"/>
      <c r="C84" s="1337">
        <f t="shared" ref="C84:K84" si="22">C85+C94+C95+C101+C102</f>
        <v>419190375</v>
      </c>
      <c r="D84" s="1337">
        <f t="shared" si="22"/>
        <v>403145007</v>
      </c>
      <c r="E84" s="1506">
        <f t="shared" si="22"/>
        <v>452940545.85000002</v>
      </c>
      <c r="F84" s="1341">
        <f t="shared" si="22"/>
        <v>376578263</v>
      </c>
      <c r="G84" s="1337">
        <f t="shared" si="22"/>
        <v>386363581</v>
      </c>
      <c r="H84" s="1507">
        <f t="shared" si="22"/>
        <v>386363581</v>
      </c>
      <c r="I84" s="1508">
        <f t="shared" si="22"/>
        <v>389983041</v>
      </c>
      <c r="J84" s="1337">
        <f t="shared" si="22"/>
        <v>424528604</v>
      </c>
      <c r="K84" s="1507">
        <f t="shared" si="22"/>
        <v>507342265</v>
      </c>
      <c r="L84" s="370"/>
      <c r="Q84" s="245"/>
    </row>
    <row r="85" spans="1:17" ht="11.25" customHeight="1" x14ac:dyDescent="0.25">
      <c r="A85" s="1329" t="str">
        <f t="shared" si="19"/>
        <v>Community and social services</v>
      </c>
      <c r="B85" s="1189"/>
      <c r="C85" s="1138">
        <f t="shared" ref="C85:K85" si="23">SUM(C86:C93)</f>
        <v>40432287</v>
      </c>
      <c r="D85" s="1138">
        <f t="shared" si="23"/>
        <v>44616847</v>
      </c>
      <c r="E85" s="1509">
        <f t="shared" si="23"/>
        <v>87882411.529999986</v>
      </c>
      <c r="F85" s="1139">
        <f t="shared" si="23"/>
        <v>38719160</v>
      </c>
      <c r="G85" s="1138">
        <f t="shared" si="23"/>
        <v>53969688</v>
      </c>
      <c r="H85" s="1510">
        <f t="shared" si="23"/>
        <v>53969688</v>
      </c>
      <c r="I85" s="1511">
        <f t="shared" si="23"/>
        <v>62956807</v>
      </c>
      <c r="J85" s="1138">
        <f t="shared" si="23"/>
        <v>65256515</v>
      </c>
      <c r="K85" s="1510">
        <f t="shared" si="23"/>
        <v>73554628</v>
      </c>
      <c r="L85" s="370"/>
      <c r="Q85" s="245"/>
    </row>
    <row r="86" spans="1:17" ht="11.25" customHeight="1" x14ac:dyDescent="0.25">
      <c r="A86" s="1550" t="str">
        <f t="shared" si="19"/>
        <v>Libraries and Archives</v>
      </c>
      <c r="B86" s="1189"/>
      <c r="C86" s="1614">
        <v>26066455</v>
      </c>
      <c r="D86" s="1614">
        <v>31877187</v>
      </c>
      <c r="E86" s="1614">
        <v>30152576.299999993</v>
      </c>
      <c r="F86" s="1616">
        <v>28639690</v>
      </c>
      <c r="G86" s="1614">
        <f>F86+13645167</f>
        <v>42284857</v>
      </c>
      <c r="H86" s="1614">
        <f>G86</f>
        <v>42284857</v>
      </c>
      <c r="I86" s="1614">
        <f>28831160+20000000</f>
        <v>48831160</v>
      </c>
      <c r="J86" s="1617">
        <f>30446187+20000000</f>
        <v>50446187</v>
      </c>
      <c r="K86" s="1614">
        <f>37746226+20000000</f>
        <v>57746226</v>
      </c>
      <c r="L86" s="370"/>
      <c r="Q86" s="245"/>
    </row>
    <row r="87" spans="1:17" ht="11.25" customHeight="1" x14ac:dyDescent="0.25">
      <c r="A87" s="1550" t="str">
        <f t="shared" si="19"/>
        <v>Museums &amp; Art Galleries etc</v>
      </c>
      <c r="B87" s="1189"/>
      <c r="C87" s="1614">
        <v>4092955</v>
      </c>
      <c r="D87" s="1614">
        <v>5830586</v>
      </c>
      <c r="E87" s="1614">
        <v>6073900.7700000014</v>
      </c>
      <c r="F87" s="1616">
        <v>4462291</v>
      </c>
      <c r="G87" s="1614">
        <v>4356609</v>
      </c>
      <c r="H87" s="1614">
        <v>4356609</v>
      </c>
      <c r="I87" s="1614">
        <f>3846667+1500000</f>
        <v>5346667</v>
      </c>
      <c r="J87" s="1617">
        <f>4081578+1500000</f>
        <v>5581578</v>
      </c>
      <c r="K87" s="1614">
        <f>4330792+1500000</f>
        <v>5830792</v>
      </c>
      <c r="L87" s="370"/>
      <c r="Q87" s="245"/>
    </row>
    <row r="88" spans="1:17" ht="11.25" customHeight="1" x14ac:dyDescent="0.25">
      <c r="A88" s="1550" t="str">
        <f t="shared" si="19"/>
        <v>Community halls and Facilities</v>
      </c>
      <c r="B88" s="1189"/>
      <c r="C88" s="1614">
        <v>0</v>
      </c>
      <c r="D88" s="1614">
        <v>0</v>
      </c>
      <c r="E88" s="1614">
        <v>23028216.860000003</v>
      </c>
      <c r="F88" s="1616"/>
      <c r="G88" s="1614">
        <v>0</v>
      </c>
      <c r="H88" s="1614">
        <v>0</v>
      </c>
      <c r="I88" s="1614"/>
      <c r="J88" s="1617"/>
      <c r="K88" s="1614">
        <v>0</v>
      </c>
      <c r="L88" s="370"/>
      <c r="Q88" s="245"/>
    </row>
    <row r="89" spans="1:17" ht="11.25" customHeight="1" x14ac:dyDescent="0.25">
      <c r="A89" s="1550" t="str">
        <f t="shared" si="19"/>
        <v>Cemeteries &amp; Crematoriums</v>
      </c>
      <c r="B89" s="1189"/>
      <c r="C89" s="1614">
        <v>7451828</v>
      </c>
      <c r="D89" s="1614">
        <v>6716920</v>
      </c>
      <c r="E89" s="1614">
        <v>7139644.3000000007</v>
      </c>
      <c r="F89" s="1616">
        <v>5507880</v>
      </c>
      <c r="G89" s="1614">
        <f>F89+1467325</f>
        <v>6975205</v>
      </c>
      <c r="H89" s="1614">
        <f>G89</f>
        <v>6975205</v>
      </c>
      <c r="I89" s="1614">
        <f>6857122+1500000</f>
        <v>8357122</v>
      </c>
      <c r="J89" s="1617">
        <f>7284428+1500000</f>
        <v>8784428</v>
      </c>
      <c r="K89" s="1614">
        <f>8012000+1500000</f>
        <v>9512000</v>
      </c>
      <c r="L89" s="370"/>
      <c r="Q89" s="245"/>
    </row>
    <row r="90" spans="1:17" ht="11.25" customHeight="1" x14ac:dyDescent="0.25">
      <c r="A90" s="1550" t="str">
        <f t="shared" si="19"/>
        <v>Child Care</v>
      </c>
      <c r="B90" s="1189"/>
      <c r="C90" s="1614">
        <v>0</v>
      </c>
      <c r="D90" s="1614">
        <v>0</v>
      </c>
      <c r="E90" s="1614">
        <v>0</v>
      </c>
      <c r="F90" s="1616"/>
      <c r="G90" s="1614">
        <v>0</v>
      </c>
      <c r="H90" s="1614">
        <v>0</v>
      </c>
      <c r="I90" s="1614"/>
      <c r="J90" s="1617"/>
      <c r="K90" s="1614">
        <v>0</v>
      </c>
      <c r="L90" s="370"/>
      <c r="Q90" s="245"/>
    </row>
    <row r="91" spans="1:17" ht="11.25" customHeight="1" x14ac:dyDescent="0.25">
      <c r="A91" s="1550" t="str">
        <f t="shared" si="19"/>
        <v>Aged Care</v>
      </c>
      <c r="B91" s="1189"/>
      <c r="C91" s="1614">
        <v>151766</v>
      </c>
      <c r="D91" s="1614">
        <v>172077</v>
      </c>
      <c r="E91" s="1614">
        <v>0</v>
      </c>
      <c r="F91" s="1616">
        <v>109299</v>
      </c>
      <c r="G91" s="1614">
        <f>F91+17718</f>
        <v>127017</v>
      </c>
      <c r="H91" s="1614">
        <f>G91</f>
        <v>127017</v>
      </c>
      <c r="I91" s="1614">
        <f>184659</f>
        <v>184659</v>
      </c>
      <c r="J91" s="1617">
        <f>195757</f>
        <v>195757</v>
      </c>
      <c r="K91" s="1614">
        <f>205112</f>
        <v>205112</v>
      </c>
      <c r="L91" s="370"/>
      <c r="Q91" s="245"/>
    </row>
    <row r="92" spans="1:17" ht="11.25" customHeight="1" x14ac:dyDescent="0.25">
      <c r="A92" s="1550" t="str">
        <f t="shared" si="19"/>
        <v>Other Community</v>
      </c>
      <c r="B92" s="1189"/>
      <c r="C92" s="1614">
        <v>0</v>
      </c>
      <c r="D92" s="1614">
        <v>0</v>
      </c>
      <c r="E92" s="1614">
        <v>21488073.299999997</v>
      </c>
      <c r="F92" s="1616"/>
      <c r="G92" s="1614">
        <v>0</v>
      </c>
      <c r="H92" s="1614">
        <v>0</v>
      </c>
      <c r="I92" s="1614"/>
      <c r="J92" s="1617"/>
      <c r="K92" s="1614">
        <v>0</v>
      </c>
      <c r="L92" s="370"/>
      <c r="Q92" s="245"/>
    </row>
    <row r="93" spans="1:17" ht="11.25" customHeight="1" x14ac:dyDescent="0.25">
      <c r="A93" s="1550" t="str">
        <f t="shared" si="19"/>
        <v>Other Social</v>
      </c>
      <c r="B93" s="1189"/>
      <c r="C93" s="1614">
        <v>2669283</v>
      </c>
      <c r="D93" s="1614">
        <v>20077</v>
      </c>
      <c r="E93" s="1614">
        <v>0</v>
      </c>
      <c r="F93" s="1616">
        <v>0</v>
      </c>
      <c r="G93" s="1614">
        <v>226000</v>
      </c>
      <c r="H93" s="1614">
        <v>226000</v>
      </c>
      <c r="I93" s="1614">
        <v>237199</v>
      </c>
      <c r="J93" s="1617">
        <f>248565</f>
        <v>248565</v>
      </c>
      <c r="K93" s="1614">
        <f>260498</f>
        <v>260498</v>
      </c>
      <c r="L93" s="370"/>
      <c r="Q93" s="245"/>
    </row>
    <row r="94" spans="1:17" ht="11.25" customHeight="1" x14ac:dyDescent="0.25">
      <c r="A94" s="1329" t="str">
        <f t="shared" si="19"/>
        <v>Sport and recreation</v>
      </c>
      <c r="B94" s="1189"/>
      <c r="C94" s="1614">
        <v>85786035</v>
      </c>
      <c r="D94" s="1614">
        <v>94720021</v>
      </c>
      <c r="E94" s="1614">
        <v>104372739.95000003</v>
      </c>
      <c r="F94" s="1616">
        <v>77037840</v>
      </c>
      <c r="G94" s="1614">
        <f>F94+-4073612</f>
        <v>72964228</v>
      </c>
      <c r="H94" s="1614">
        <f>G94</f>
        <v>72964228</v>
      </c>
      <c r="I94" s="1614">
        <v>75534731</v>
      </c>
      <c r="J94" s="1617">
        <f>79929840</f>
        <v>79929840</v>
      </c>
      <c r="K94" s="1614">
        <f>78277128</f>
        <v>78277128</v>
      </c>
      <c r="L94" s="370"/>
      <c r="Q94" s="245"/>
    </row>
    <row r="95" spans="1:17" ht="11.25" customHeight="1" x14ac:dyDescent="0.25">
      <c r="A95" s="1329" t="str">
        <f t="shared" si="19"/>
        <v>Public safety</v>
      </c>
      <c r="B95" s="1189"/>
      <c r="C95" s="1138">
        <f t="shared" ref="C95:K95" si="24">SUM(C96:C100)</f>
        <v>169145994</v>
      </c>
      <c r="D95" s="1138">
        <f t="shared" si="24"/>
        <v>173747838</v>
      </c>
      <c r="E95" s="1509">
        <f t="shared" si="24"/>
        <v>171159556.24999997</v>
      </c>
      <c r="F95" s="1139">
        <f t="shared" si="24"/>
        <v>177669063</v>
      </c>
      <c r="G95" s="1138">
        <f t="shared" si="24"/>
        <v>203610385</v>
      </c>
      <c r="H95" s="1510">
        <f t="shared" si="24"/>
        <v>203610385</v>
      </c>
      <c r="I95" s="1511">
        <f t="shared" si="24"/>
        <v>205998401</v>
      </c>
      <c r="J95" s="1138">
        <f t="shared" si="24"/>
        <v>231587126</v>
      </c>
      <c r="K95" s="1510">
        <f t="shared" si="24"/>
        <v>305851435</v>
      </c>
      <c r="L95" s="370"/>
      <c r="Q95" s="245"/>
    </row>
    <row r="96" spans="1:17" ht="11.25" customHeight="1" x14ac:dyDescent="0.25">
      <c r="A96" s="1550" t="str">
        <f t="shared" si="19"/>
        <v>Police</v>
      </c>
      <c r="B96" s="1189"/>
      <c r="C96" s="1614">
        <v>103219516</v>
      </c>
      <c r="D96" s="1614">
        <v>98590939</v>
      </c>
      <c r="E96" s="1614">
        <v>101295300.51999995</v>
      </c>
      <c r="F96" s="1616">
        <v>96602763</v>
      </c>
      <c r="G96" s="1614">
        <f>F96+18332742</f>
        <v>114935505</v>
      </c>
      <c r="H96" s="1614">
        <f>G96</f>
        <v>114935505</v>
      </c>
      <c r="I96" s="1614">
        <f>115998789-12441100</f>
        <v>103557689</v>
      </c>
      <c r="J96" s="1617">
        <v>123159404</v>
      </c>
      <c r="K96" s="1614">
        <f>130644447+56981000</f>
        <v>187625447</v>
      </c>
      <c r="L96" s="370"/>
      <c r="Q96" s="245"/>
    </row>
    <row r="97" spans="1:17" ht="11.25" customHeight="1" x14ac:dyDescent="0.25">
      <c r="A97" s="1550" t="str">
        <f t="shared" si="19"/>
        <v>Fire</v>
      </c>
      <c r="B97" s="1189"/>
      <c r="C97" s="1614">
        <v>52144155</v>
      </c>
      <c r="D97" s="1614">
        <v>58125114</v>
      </c>
      <c r="E97" s="1614">
        <v>62824351.710000008</v>
      </c>
      <c r="F97" s="1616">
        <v>54469271</v>
      </c>
      <c r="G97" s="1614">
        <f>F97+4121808</f>
        <v>58591079</v>
      </c>
      <c r="H97" s="1614">
        <f>G97</f>
        <v>58591079</v>
      </c>
      <c r="I97" s="1614">
        <f>62940381</f>
        <v>62940381</v>
      </c>
      <c r="J97" s="1617">
        <f>66779758</f>
        <v>66779758</v>
      </c>
      <c r="K97" s="1614">
        <f>73929880</f>
        <v>73929880</v>
      </c>
      <c r="L97" s="370"/>
      <c r="Q97" s="245"/>
    </row>
    <row r="98" spans="1:17" ht="11.25" customHeight="1" x14ac:dyDescent="0.25">
      <c r="A98" s="1550" t="str">
        <f t="shared" si="19"/>
        <v>Civil Defence</v>
      </c>
      <c r="B98" s="1189"/>
      <c r="C98" s="1614">
        <v>5518984</v>
      </c>
      <c r="D98" s="1614">
        <v>7225381</v>
      </c>
      <c r="E98" s="1614">
        <v>7039904.0200000005</v>
      </c>
      <c r="F98" s="1616">
        <v>7375298</v>
      </c>
      <c r="G98" s="1614">
        <f>F98+147880</f>
        <v>7523178</v>
      </c>
      <c r="H98" s="1614">
        <f>G98</f>
        <v>7523178</v>
      </c>
      <c r="I98" s="1614">
        <v>8241931</v>
      </c>
      <c r="J98" s="1617">
        <v>8665869</v>
      </c>
      <c r="K98" s="1614">
        <v>9665869</v>
      </c>
      <c r="L98" s="370"/>
      <c r="Q98" s="245"/>
    </row>
    <row r="99" spans="1:17" ht="11.25" customHeight="1" x14ac:dyDescent="0.25">
      <c r="A99" s="1550" t="str">
        <f t="shared" si="19"/>
        <v>Street Lighting</v>
      </c>
      <c r="B99" s="1189"/>
      <c r="C99" s="1614">
        <v>8263339</v>
      </c>
      <c r="D99" s="1614">
        <v>9806404</v>
      </c>
      <c r="E99" s="1614">
        <v>0</v>
      </c>
      <c r="F99" s="1616">
        <v>12255796</v>
      </c>
      <c r="G99" s="1614">
        <f>F99</f>
        <v>12255796</v>
      </c>
      <c r="H99" s="1614">
        <f>F99</f>
        <v>12255796</v>
      </c>
      <c r="I99" s="1614">
        <f>19522390</f>
        <v>19522390</v>
      </c>
      <c r="J99" s="1617">
        <v>20492741</v>
      </c>
      <c r="K99" s="1614">
        <v>21658246</v>
      </c>
      <c r="L99" s="370"/>
      <c r="Q99" s="245"/>
    </row>
    <row r="100" spans="1:17" ht="11.25" customHeight="1" x14ac:dyDescent="0.25">
      <c r="A100" s="1550" t="str">
        <f t="shared" si="19"/>
        <v>Other</v>
      </c>
      <c r="B100" s="1189"/>
      <c r="C100" s="1614"/>
      <c r="D100" s="1614"/>
      <c r="E100" s="1614">
        <v>0</v>
      </c>
      <c r="F100" s="1616">
        <v>6965935</v>
      </c>
      <c r="G100" s="1614">
        <f>F100+3338892</f>
        <v>10304827</v>
      </c>
      <c r="H100" s="1614">
        <f>G100</f>
        <v>10304827</v>
      </c>
      <c r="I100" s="1614">
        <f>7736010+4000000</f>
        <v>11736010</v>
      </c>
      <c r="J100" s="1617">
        <f>7489354+5000000</f>
        <v>12489354</v>
      </c>
      <c r="K100" s="1614">
        <f>7971993+5000000</f>
        <v>12971993</v>
      </c>
      <c r="L100" s="370"/>
      <c r="Q100" s="245"/>
    </row>
    <row r="101" spans="1:17" ht="11.25" customHeight="1" x14ac:dyDescent="0.25">
      <c r="A101" s="1329" t="str">
        <f t="shared" si="19"/>
        <v>Housing</v>
      </c>
      <c r="B101" s="1189"/>
      <c r="C101" s="1623">
        <v>69528040</v>
      </c>
      <c r="D101" s="1623">
        <v>34717848</v>
      </c>
      <c r="E101" s="1614">
        <v>31956221.650000002</v>
      </c>
      <c r="F101" s="1625">
        <v>36554280</v>
      </c>
      <c r="G101" s="1614">
        <f>F101+-15750495</f>
        <v>20803785</v>
      </c>
      <c r="H101" s="1614">
        <f>G101</f>
        <v>20803785</v>
      </c>
      <c r="I101" s="1623">
        <f>19696070</f>
        <v>19696070</v>
      </c>
      <c r="J101" s="1626">
        <v>20386398</v>
      </c>
      <c r="K101" s="1614">
        <f>21120449</f>
        <v>21120449</v>
      </c>
      <c r="L101" s="370"/>
      <c r="Q101" s="245"/>
    </row>
    <row r="102" spans="1:17" ht="11.25" customHeight="1" x14ac:dyDescent="0.25">
      <c r="A102" s="1329" t="str">
        <f t="shared" si="19"/>
        <v>Health</v>
      </c>
      <c r="B102" s="1189"/>
      <c r="C102" s="1138">
        <f t="shared" ref="C102:K102" si="25">SUM(C103:C105)</f>
        <v>54298019</v>
      </c>
      <c r="D102" s="1138">
        <f t="shared" si="25"/>
        <v>55342453</v>
      </c>
      <c r="E102" s="1509">
        <f t="shared" si="25"/>
        <v>57569616.469999999</v>
      </c>
      <c r="F102" s="1139">
        <f t="shared" si="25"/>
        <v>46597920</v>
      </c>
      <c r="G102" s="1138">
        <f t="shared" si="25"/>
        <v>35015495</v>
      </c>
      <c r="H102" s="1510">
        <f t="shared" si="25"/>
        <v>35015495</v>
      </c>
      <c r="I102" s="1511">
        <f t="shared" si="25"/>
        <v>25797032</v>
      </c>
      <c r="J102" s="1138">
        <f t="shared" si="25"/>
        <v>27368725</v>
      </c>
      <c r="K102" s="1510">
        <f t="shared" si="25"/>
        <v>28538625</v>
      </c>
      <c r="L102" s="370"/>
      <c r="Q102" s="245"/>
    </row>
    <row r="103" spans="1:17" ht="11.25" customHeight="1" x14ac:dyDescent="0.25">
      <c r="A103" s="1550" t="str">
        <f t="shared" si="19"/>
        <v>Clinics</v>
      </c>
      <c r="B103" s="1189"/>
      <c r="C103" s="1614">
        <v>21167254</v>
      </c>
      <c r="D103" s="1614">
        <v>22859749</v>
      </c>
      <c r="E103" s="1614">
        <v>25193920.279999997</v>
      </c>
      <c r="F103" s="1616">
        <v>27646540</v>
      </c>
      <c r="G103" s="1614">
        <f>F103+-9445599</f>
        <v>18200941</v>
      </c>
      <c r="H103" s="1614">
        <f>G103</f>
        <v>18200941</v>
      </c>
      <c r="I103" s="1614">
        <v>7040544</v>
      </c>
      <c r="J103" s="1617">
        <v>7498131</v>
      </c>
      <c r="K103" s="1614">
        <f>7985462</f>
        <v>7985462</v>
      </c>
      <c r="L103" s="370"/>
      <c r="Q103" s="245"/>
    </row>
    <row r="104" spans="1:17" ht="11.25" customHeight="1" x14ac:dyDescent="0.25">
      <c r="A104" s="1550" t="str">
        <f t="shared" si="19"/>
        <v>Ambulance</v>
      </c>
      <c r="B104" s="1189"/>
      <c r="C104" s="1614">
        <v>0</v>
      </c>
      <c r="D104" s="1614">
        <v>0</v>
      </c>
      <c r="E104" s="1614">
        <v>0</v>
      </c>
      <c r="F104" s="1616">
        <v>0</v>
      </c>
      <c r="G104" s="1614">
        <v>0</v>
      </c>
      <c r="H104" s="1614">
        <v>0</v>
      </c>
      <c r="I104" s="1614"/>
      <c r="J104" s="1617"/>
      <c r="K104" s="1614">
        <v>0</v>
      </c>
      <c r="L104" s="370"/>
      <c r="Q104" s="245"/>
    </row>
    <row r="105" spans="1:17" ht="11.25" customHeight="1" x14ac:dyDescent="0.25">
      <c r="A105" s="1550" t="str">
        <f t="shared" si="19"/>
        <v xml:space="preserve">Other   </v>
      </c>
      <c r="B105" s="1189"/>
      <c r="C105" s="1614">
        <v>33130765</v>
      </c>
      <c r="D105" s="1614">
        <v>32482704</v>
      </c>
      <c r="E105" s="1614">
        <v>32375696.189999998</v>
      </c>
      <c r="F105" s="1616">
        <v>18951380</v>
      </c>
      <c r="G105" s="1614">
        <f>F105+-2136826</f>
        <v>16814554</v>
      </c>
      <c r="H105" s="1614">
        <f>G105</f>
        <v>16814554</v>
      </c>
      <c r="I105" s="1614">
        <v>18756488</v>
      </c>
      <c r="J105" s="1617">
        <v>19870594</v>
      </c>
      <c r="K105" s="1614">
        <f>18553163+2000000</f>
        <v>20553163</v>
      </c>
      <c r="L105" s="370"/>
      <c r="Q105" s="245"/>
    </row>
    <row r="106" spans="1:17" ht="11.25" customHeight="1" x14ac:dyDescent="0.25">
      <c r="A106" s="1270" t="str">
        <f t="shared" si="19"/>
        <v>Economic and environmental services</v>
      </c>
      <c r="B106" s="1189"/>
      <c r="C106" s="1337">
        <f t="shared" ref="C106:K106" si="26">C107+C111+C117</f>
        <v>217934789</v>
      </c>
      <c r="D106" s="1337">
        <f t="shared" si="26"/>
        <v>217367719</v>
      </c>
      <c r="E106" s="1506">
        <f t="shared" si="26"/>
        <v>317414694.21999961</v>
      </c>
      <c r="F106" s="1341">
        <f t="shared" si="26"/>
        <v>161452115.84999999</v>
      </c>
      <c r="G106" s="1337">
        <f t="shared" si="26"/>
        <v>303924208.85000002</v>
      </c>
      <c r="H106" s="1507">
        <f t="shared" si="26"/>
        <v>303924208.85000002</v>
      </c>
      <c r="I106" s="1508">
        <f t="shared" si="26"/>
        <v>112985565</v>
      </c>
      <c r="J106" s="1337">
        <f t="shared" si="26"/>
        <v>115416249</v>
      </c>
      <c r="K106" s="1507">
        <f t="shared" si="26"/>
        <v>96415669</v>
      </c>
      <c r="L106" s="370"/>
      <c r="Q106" s="245"/>
    </row>
    <row r="107" spans="1:17" ht="11.25" customHeight="1" x14ac:dyDescent="0.25">
      <c r="A107" s="1329" t="str">
        <f t="shared" si="19"/>
        <v>Planning and development</v>
      </c>
      <c r="B107" s="1189"/>
      <c r="C107" s="1138">
        <f t="shared" ref="C107:K107" si="27">SUM(C108:C110)</f>
        <v>45814692</v>
      </c>
      <c r="D107" s="1138">
        <f t="shared" si="27"/>
        <v>38536023</v>
      </c>
      <c r="E107" s="1509">
        <f t="shared" si="27"/>
        <v>54895952.759999998</v>
      </c>
      <c r="F107" s="1139">
        <f t="shared" si="27"/>
        <v>65668050</v>
      </c>
      <c r="G107" s="1138">
        <f t="shared" si="27"/>
        <v>92239532</v>
      </c>
      <c r="H107" s="1510">
        <f t="shared" si="27"/>
        <v>92239532</v>
      </c>
      <c r="I107" s="1511">
        <f t="shared" si="27"/>
        <v>72382823</v>
      </c>
      <c r="J107" s="1138">
        <f t="shared" si="27"/>
        <v>76053673</v>
      </c>
      <c r="K107" s="1510">
        <f t="shared" si="27"/>
        <v>78638623</v>
      </c>
      <c r="L107" s="370"/>
      <c r="Q107" s="245"/>
    </row>
    <row r="108" spans="1:17" ht="11.25" customHeight="1" x14ac:dyDescent="0.25">
      <c r="A108" s="1550" t="str">
        <f t="shared" si="19"/>
        <v xml:space="preserve">Economic Development/Planning </v>
      </c>
      <c r="B108" s="1189"/>
      <c r="C108" s="1614">
        <v>40146006</v>
      </c>
      <c r="D108" s="1614">
        <v>33034306</v>
      </c>
      <c r="E108" s="1614">
        <v>29948755.369999994</v>
      </c>
      <c r="F108" s="1616">
        <v>62636955</v>
      </c>
      <c r="G108" s="1614">
        <f>F108+25945480</f>
        <v>88582435</v>
      </c>
      <c r="H108" s="1614">
        <f>G108</f>
        <v>88582435</v>
      </c>
      <c r="I108" s="1614">
        <v>68632493</v>
      </c>
      <c r="J108" s="1617">
        <v>72060979</v>
      </c>
      <c r="K108" s="1614">
        <f>74389553</f>
        <v>74389553</v>
      </c>
      <c r="L108" s="370"/>
      <c r="Q108" s="245"/>
    </row>
    <row r="109" spans="1:17" ht="11.25" customHeight="1" x14ac:dyDescent="0.25">
      <c r="A109" s="1550" t="str">
        <f t="shared" si="19"/>
        <v xml:space="preserve">Town Planning/Building enforcement </v>
      </c>
      <c r="B109" s="1189"/>
      <c r="C109" s="1614">
        <v>0</v>
      </c>
      <c r="D109" s="1614">
        <v>0</v>
      </c>
      <c r="E109" s="1614">
        <v>19399112.010000002</v>
      </c>
      <c r="F109" s="1616">
        <v>0</v>
      </c>
      <c r="G109" s="1614">
        <v>0</v>
      </c>
      <c r="H109" s="1614">
        <v>0</v>
      </c>
      <c r="I109" s="1614">
        <v>0</v>
      </c>
      <c r="J109" s="1617">
        <v>0</v>
      </c>
      <c r="K109" s="1614">
        <v>0</v>
      </c>
      <c r="L109" s="370"/>
      <c r="Q109" s="245"/>
    </row>
    <row r="110" spans="1:17" ht="11.25" customHeight="1" x14ac:dyDescent="0.25">
      <c r="A110" s="1550" t="str">
        <f t="shared" si="19"/>
        <v>Licensing &amp; Regulation</v>
      </c>
      <c r="B110" s="1189"/>
      <c r="C110" s="1614">
        <v>5668686</v>
      </c>
      <c r="D110" s="1614">
        <v>5501717</v>
      </c>
      <c r="E110" s="1614">
        <v>5548085.3800000008</v>
      </c>
      <c r="F110" s="1616">
        <v>3031095</v>
      </c>
      <c r="G110" s="1614">
        <f>F110+626002</f>
        <v>3657097</v>
      </c>
      <c r="H110" s="1614">
        <f>G110</f>
        <v>3657097</v>
      </c>
      <c r="I110" s="1614">
        <v>3750330</v>
      </c>
      <c r="J110" s="1617">
        <v>3992694</v>
      </c>
      <c r="K110" s="1614">
        <v>4249070</v>
      </c>
      <c r="L110" s="370"/>
      <c r="Q110" s="245"/>
    </row>
    <row r="111" spans="1:17" ht="11.25" customHeight="1" x14ac:dyDescent="0.25">
      <c r="A111" s="1329" t="str">
        <f t="shared" si="19"/>
        <v>Road transport</v>
      </c>
      <c r="B111" s="1189"/>
      <c r="C111" s="1138">
        <f t="shared" ref="C111:K111" si="28">SUM(C112:C116)</f>
        <v>172120097</v>
      </c>
      <c r="D111" s="1138">
        <f t="shared" si="28"/>
        <v>178831696</v>
      </c>
      <c r="E111" s="1509">
        <f t="shared" si="28"/>
        <v>262518741.45999962</v>
      </c>
      <c r="F111" s="1139">
        <f t="shared" si="28"/>
        <v>95784065.849999994</v>
      </c>
      <c r="G111" s="1138">
        <f t="shared" si="28"/>
        <v>211684676.84999999</v>
      </c>
      <c r="H111" s="1510">
        <f t="shared" si="28"/>
        <v>211684676.84999999</v>
      </c>
      <c r="I111" s="1511">
        <f t="shared" si="28"/>
        <v>40602742</v>
      </c>
      <c r="J111" s="1138">
        <f t="shared" si="28"/>
        <v>39362576</v>
      </c>
      <c r="K111" s="1510">
        <f t="shared" si="28"/>
        <v>17777046</v>
      </c>
      <c r="L111" s="370"/>
      <c r="Q111" s="245"/>
    </row>
    <row r="112" spans="1:17" ht="11.25" customHeight="1" x14ac:dyDescent="0.25">
      <c r="A112" s="1550" t="str">
        <f t="shared" si="19"/>
        <v>Roads</v>
      </c>
      <c r="B112" s="1189"/>
      <c r="C112" s="1614">
        <v>158828693</v>
      </c>
      <c r="D112" s="1614">
        <v>165168736</v>
      </c>
      <c r="E112" s="1614">
        <v>232648003.33999962</v>
      </c>
      <c r="F112" s="1616">
        <v>87728120</v>
      </c>
      <c r="G112" s="1614">
        <f>F112+60153096</f>
        <v>147881216</v>
      </c>
      <c r="H112" s="1614">
        <f>G112</f>
        <v>147881216</v>
      </c>
      <c r="I112" s="1614">
        <f>104342135+50000000-124411000</f>
        <v>29931135</v>
      </c>
      <c r="J112" s="1617">
        <f>110599869+50000000-89392000-43671000</f>
        <v>27536869</v>
      </c>
      <c r="K112" s="1614">
        <f>117013022+50000000-161790000</f>
        <v>5223022</v>
      </c>
      <c r="L112" s="370"/>
      <c r="Q112" s="245"/>
    </row>
    <row r="113" spans="1:17" ht="11.25" customHeight="1" x14ac:dyDescent="0.25">
      <c r="A113" s="1550" t="str">
        <f t="shared" si="19"/>
        <v>Public Buses</v>
      </c>
      <c r="B113" s="1189"/>
      <c r="C113" s="1614">
        <v>10857079</v>
      </c>
      <c r="D113" s="1614">
        <v>11075951</v>
      </c>
      <c r="E113" s="1614">
        <v>25151398.24000001</v>
      </c>
      <c r="F113" s="1616">
        <v>6797310</v>
      </c>
      <c r="G113" s="1614">
        <f>F113+54913801</f>
        <v>61711111</v>
      </c>
      <c r="H113" s="1614">
        <f>G113</f>
        <v>61711111</v>
      </c>
      <c r="I113" s="1614">
        <v>8316720</v>
      </c>
      <c r="J113" s="1617">
        <v>8844842</v>
      </c>
      <c r="K113" s="1614">
        <v>9474717</v>
      </c>
      <c r="L113" s="370"/>
      <c r="Q113" s="245"/>
    </row>
    <row r="114" spans="1:17" ht="11.25" customHeight="1" x14ac:dyDescent="0.25">
      <c r="A114" s="1550" t="str">
        <f t="shared" si="19"/>
        <v>Parking Garages</v>
      </c>
      <c r="B114" s="1189"/>
      <c r="C114" s="1614">
        <v>1016732</v>
      </c>
      <c r="D114" s="1614">
        <v>763705</v>
      </c>
      <c r="E114" s="1614">
        <v>0</v>
      </c>
      <c r="F114" s="1616">
        <v>7943.85</v>
      </c>
      <c r="G114" s="1614">
        <f>F114+425987</f>
        <v>433930.85</v>
      </c>
      <c r="H114" s="1614">
        <f>G114</f>
        <v>433930.85</v>
      </c>
      <c r="I114" s="1614">
        <v>645000</v>
      </c>
      <c r="J114" s="1617">
        <v>676605</v>
      </c>
      <c r="K114" s="1614">
        <f>717201</f>
        <v>717201</v>
      </c>
      <c r="L114" s="370"/>
      <c r="Q114" s="245"/>
    </row>
    <row r="115" spans="1:17" ht="11.25" customHeight="1" x14ac:dyDescent="0.25">
      <c r="A115" s="1550" t="str">
        <f t="shared" si="19"/>
        <v>Vehicle Licensing and Testing</v>
      </c>
      <c r="B115" s="1189"/>
      <c r="C115" s="1614">
        <v>0</v>
      </c>
      <c r="D115" s="1614">
        <v>0</v>
      </c>
      <c r="E115" s="1614">
        <v>0</v>
      </c>
      <c r="F115" s="1616"/>
      <c r="G115" s="1614">
        <v>0</v>
      </c>
      <c r="H115" s="1614">
        <v>0</v>
      </c>
      <c r="I115" s="1614">
        <v>0</v>
      </c>
      <c r="J115" s="1617"/>
      <c r="K115" s="1614">
        <v>0</v>
      </c>
      <c r="L115" s="370"/>
      <c r="Q115" s="245"/>
    </row>
    <row r="116" spans="1:17" ht="11.25" customHeight="1" x14ac:dyDescent="0.25">
      <c r="A116" s="1550" t="str">
        <f t="shared" si="19"/>
        <v>Other</v>
      </c>
      <c r="B116" s="1189"/>
      <c r="C116" s="1614">
        <v>1417593</v>
      </c>
      <c r="D116" s="1614">
        <v>1823304</v>
      </c>
      <c r="E116" s="1614">
        <v>4719339.8800000027</v>
      </c>
      <c r="F116" s="1616">
        <v>1250692</v>
      </c>
      <c r="G116" s="1614">
        <f>F116+407727</f>
        <v>1658419</v>
      </c>
      <c r="H116" s="1614">
        <f>G116</f>
        <v>1658419</v>
      </c>
      <c r="I116" s="1614">
        <f>2258237-548350</f>
        <v>1709887</v>
      </c>
      <c r="J116" s="1617">
        <v>2304260</v>
      </c>
      <c r="K116" s="1614">
        <v>2362106</v>
      </c>
      <c r="L116" s="370"/>
      <c r="Q116" s="245"/>
    </row>
    <row r="117" spans="1:17" ht="11.25" customHeight="1" x14ac:dyDescent="0.25">
      <c r="A117" s="1329" t="str">
        <f t="shared" si="19"/>
        <v>Environmental protection</v>
      </c>
      <c r="B117" s="1189"/>
      <c r="C117" s="1138">
        <f t="shared" ref="C117:K117" si="29">SUM(C118:C120)</f>
        <v>0</v>
      </c>
      <c r="D117" s="1138">
        <f t="shared" si="29"/>
        <v>0</v>
      </c>
      <c r="E117" s="1509">
        <f t="shared" si="29"/>
        <v>0</v>
      </c>
      <c r="F117" s="1139">
        <f t="shared" si="29"/>
        <v>0</v>
      </c>
      <c r="G117" s="1138">
        <f t="shared" si="29"/>
        <v>0</v>
      </c>
      <c r="H117" s="1510">
        <f t="shared" si="29"/>
        <v>0</v>
      </c>
      <c r="I117" s="1511">
        <f t="shared" si="29"/>
        <v>0</v>
      </c>
      <c r="J117" s="1138">
        <f t="shared" si="29"/>
        <v>0</v>
      </c>
      <c r="K117" s="1510">
        <f t="shared" si="29"/>
        <v>0</v>
      </c>
      <c r="L117" s="370"/>
      <c r="Q117" s="245"/>
    </row>
    <row r="118" spans="1:17" ht="11.25" customHeight="1" x14ac:dyDescent="0.25">
      <c r="A118" s="1550" t="str">
        <f t="shared" si="19"/>
        <v>Pollution Control</v>
      </c>
      <c r="B118" s="1189"/>
      <c r="C118" s="1614"/>
      <c r="D118" s="1614"/>
      <c r="E118" s="1615"/>
      <c r="F118" s="1616"/>
      <c r="G118" s="1614">
        <v>0</v>
      </c>
      <c r="H118" s="1617"/>
      <c r="I118" s="1618"/>
      <c r="J118" s="1614"/>
      <c r="K118" s="1617"/>
      <c r="L118" s="370"/>
      <c r="Q118" s="245"/>
    </row>
    <row r="119" spans="1:17" ht="11.25" customHeight="1" x14ac:dyDescent="0.25">
      <c r="A119" s="1550" t="str">
        <f t="shared" si="19"/>
        <v>Biodiversity &amp; Landscape</v>
      </c>
      <c r="B119" s="1189"/>
      <c r="C119" s="1614"/>
      <c r="D119" s="1614"/>
      <c r="E119" s="1615"/>
      <c r="F119" s="1616"/>
      <c r="G119" s="1614">
        <v>0</v>
      </c>
      <c r="H119" s="1617"/>
      <c r="I119" s="1618"/>
      <c r="J119" s="1614"/>
      <c r="K119" s="1617"/>
      <c r="L119" s="370"/>
      <c r="Q119" s="245"/>
    </row>
    <row r="120" spans="1:17" ht="11.25" customHeight="1" x14ac:dyDescent="0.25">
      <c r="A120" s="1550" t="str">
        <f t="shared" si="19"/>
        <v>Other</v>
      </c>
      <c r="B120" s="1189"/>
      <c r="C120" s="1614"/>
      <c r="D120" s="1614"/>
      <c r="E120" s="1615"/>
      <c r="F120" s="1616"/>
      <c r="G120" s="1614">
        <v>0</v>
      </c>
      <c r="H120" s="1617"/>
      <c r="I120" s="1618"/>
      <c r="J120" s="1614"/>
      <c r="K120" s="1617"/>
      <c r="L120" s="370"/>
      <c r="Q120" s="245"/>
    </row>
    <row r="121" spans="1:17" ht="11.25" customHeight="1" x14ac:dyDescent="0.25">
      <c r="A121" s="1270" t="str">
        <f t="shared" si="19"/>
        <v>Trading services</v>
      </c>
      <c r="B121" s="1189"/>
      <c r="C121" s="1337">
        <f>C122+C125+C128+C132</f>
        <v>1615770443</v>
      </c>
      <c r="D121" s="1337">
        <f t="shared" ref="D121:K121" si="30">D122+D125+D128+D132</f>
        <v>1570097645</v>
      </c>
      <c r="E121" s="1506">
        <f t="shared" si="30"/>
        <v>1349640027.0099995</v>
      </c>
      <c r="F121" s="1341">
        <f t="shared" si="30"/>
        <v>1855665222</v>
      </c>
      <c r="G121" s="1337">
        <f t="shared" si="30"/>
        <v>1923119191</v>
      </c>
      <c r="H121" s="1507">
        <f t="shared" si="30"/>
        <v>1923119191</v>
      </c>
      <c r="I121" s="1508">
        <f t="shared" si="30"/>
        <v>2180746447</v>
      </c>
      <c r="J121" s="1337">
        <f t="shared" si="30"/>
        <v>2344109932</v>
      </c>
      <c r="K121" s="1507">
        <f t="shared" si="30"/>
        <v>2620053478.6625328</v>
      </c>
      <c r="L121" s="370"/>
      <c r="Q121" s="245"/>
    </row>
    <row r="122" spans="1:17" ht="11.25" customHeight="1" x14ac:dyDescent="0.25">
      <c r="A122" s="1329" t="str">
        <f t="shared" si="19"/>
        <v>Electricity</v>
      </c>
      <c r="B122" s="1189"/>
      <c r="C122" s="1138">
        <f t="shared" ref="C122:K122" si="31">SUM(C123:C124)</f>
        <v>1059915295</v>
      </c>
      <c r="D122" s="1138">
        <f t="shared" si="31"/>
        <v>936232000</v>
      </c>
      <c r="E122" s="1509">
        <f t="shared" si="31"/>
        <v>704126167.61999989</v>
      </c>
      <c r="F122" s="1139">
        <f t="shared" si="31"/>
        <v>1215590144</v>
      </c>
      <c r="G122" s="1138">
        <f t="shared" si="31"/>
        <v>1215207882</v>
      </c>
      <c r="H122" s="1510">
        <f t="shared" si="31"/>
        <v>1215207882</v>
      </c>
      <c r="I122" s="1511">
        <f t="shared" si="31"/>
        <v>1482680000</v>
      </c>
      <c r="J122" s="1138">
        <f t="shared" si="31"/>
        <v>1587127000</v>
      </c>
      <c r="K122" s="1510">
        <f t="shared" si="31"/>
        <v>1784637000</v>
      </c>
      <c r="L122" s="370"/>
      <c r="Q122" s="245"/>
    </row>
    <row r="123" spans="1:17" ht="11.25" customHeight="1" x14ac:dyDescent="0.25">
      <c r="A123" s="1550" t="str">
        <f t="shared" si="19"/>
        <v>Electricity Distribution</v>
      </c>
      <c r="B123" s="1189"/>
      <c r="C123" s="1614">
        <f>991965799+67949496</f>
        <v>1059915295</v>
      </c>
      <c r="D123" s="1614">
        <f>936543000-311000</f>
        <v>936232000</v>
      </c>
      <c r="E123" s="1614">
        <f>1143068167.62-438942000</f>
        <v>704126167.61999989</v>
      </c>
      <c r="F123" s="1616">
        <v>1215590144</v>
      </c>
      <c r="G123" s="1614">
        <f>F123+[5]B2B!$I$125</f>
        <v>1215207882</v>
      </c>
      <c r="H123" s="1614">
        <f>G123</f>
        <v>1215207882</v>
      </c>
      <c r="I123" s="1614">
        <f>1574248000-201239000+109671000</f>
        <v>1482680000</v>
      </c>
      <c r="J123" s="1634">
        <v>1587127000</v>
      </c>
      <c r="K123" s="1634">
        <f>2001726000-187099000-26991000-2999000</f>
        <v>1784637000</v>
      </c>
      <c r="L123" s="370"/>
      <c r="Q123" s="245"/>
    </row>
    <row r="124" spans="1:17" ht="11.25" customHeight="1" x14ac:dyDescent="0.25">
      <c r="A124" s="1550" t="str">
        <f t="shared" si="19"/>
        <v>Electricity Generation</v>
      </c>
      <c r="B124" s="1189"/>
      <c r="C124" s="1614"/>
      <c r="D124" s="1614"/>
      <c r="E124" s="1615"/>
      <c r="F124" s="1616"/>
      <c r="G124" s="1614">
        <v>0</v>
      </c>
      <c r="H124" s="1614">
        <v>0</v>
      </c>
      <c r="I124" s="1614"/>
      <c r="J124" s="1617"/>
      <c r="K124" s="1614">
        <v>0</v>
      </c>
      <c r="L124" s="370"/>
      <c r="Q124" s="245"/>
    </row>
    <row r="125" spans="1:17" ht="11.25" customHeight="1" x14ac:dyDescent="0.25">
      <c r="A125" s="1329" t="str">
        <f t="shared" si="19"/>
        <v>Water</v>
      </c>
      <c r="B125" s="1189"/>
      <c r="C125" s="1138">
        <f t="shared" ref="C125:K125" si="32">SUM(C126:C127)</f>
        <v>336008590</v>
      </c>
      <c r="D125" s="1138">
        <f t="shared" si="32"/>
        <v>416245057</v>
      </c>
      <c r="E125" s="1509">
        <f t="shared" si="32"/>
        <v>425842833.3299998</v>
      </c>
      <c r="F125" s="1139">
        <f t="shared" si="32"/>
        <v>476068172</v>
      </c>
      <c r="G125" s="1138">
        <f t="shared" si="32"/>
        <v>514614087</v>
      </c>
      <c r="H125" s="1510">
        <f t="shared" si="32"/>
        <v>514614087</v>
      </c>
      <c r="I125" s="1511">
        <f t="shared" si="32"/>
        <v>573487704</v>
      </c>
      <c r="J125" s="1138">
        <f t="shared" si="32"/>
        <v>525292216</v>
      </c>
      <c r="K125" s="1510">
        <f t="shared" si="32"/>
        <v>456071566</v>
      </c>
      <c r="L125" s="370"/>
      <c r="Q125" s="245"/>
    </row>
    <row r="126" spans="1:17" ht="11.25" customHeight="1" x14ac:dyDescent="0.25">
      <c r="A126" s="1550" t="str">
        <f t="shared" si="19"/>
        <v>Water Distribution</v>
      </c>
      <c r="B126" s="1189"/>
      <c r="C126" s="1614">
        <v>336008590</v>
      </c>
      <c r="D126" s="1614">
        <v>416245057</v>
      </c>
      <c r="E126" s="1614">
        <v>425842833.3299998</v>
      </c>
      <c r="F126" s="1616">
        <v>476068172</v>
      </c>
      <c r="G126" s="1614">
        <f>F126+[5]B2B!$I$128</f>
        <v>514614087</v>
      </c>
      <c r="H126" s="1614">
        <f>G126</f>
        <v>514614087</v>
      </c>
      <c r="I126" s="1614">
        <f>423487704+150000000</f>
        <v>573487704</v>
      </c>
      <c r="J126" s="1617">
        <f>462636216+150000000-87344000</f>
        <v>525292216</v>
      </c>
      <c r="K126" s="1614">
        <f>497851566+150000000-161790000-29990000</f>
        <v>456071566</v>
      </c>
      <c r="L126" s="370"/>
      <c r="Q126" s="245"/>
    </row>
    <row r="127" spans="1:17" ht="11.25" customHeight="1" x14ac:dyDescent="0.25">
      <c r="A127" s="1550" t="str">
        <f t="shared" si="19"/>
        <v>Water Storage</v>
      </c>
      <c r="B127" s="1189"/>
      <c r="C127" s="1614"/>
      <c r="D127" s="1614"/>
      <c r="E127" s="1615"/>
      <c r="F127" s="1616"/>
      <c r="G127" s="1614">
        <v>0</v>
      </c>
      <c r="H127" s="1617"/>
      <c r="I127" s="1618"/>
      <c r="J127" s="1614"/>
      <c r="K127" s="1614">
        <v>0</v>
      </c>
      <c r="L127" s="370"/>
      <c r="Q127" s="245"/>
    </row>
    <row r="128" spans="1:17" ht="11.25" customHeight="1" x14ac:dyDescent="0.25">
      <c r="A128" s="1329" t="str">
        <f t="shared" si="19"/>
        <v>Waste water management</v>
      </c>
      <c r="B128" s="1189"/>
      <c r="C128" s="1138">
        <f t="shared" ref="C128:K128" si="33">SUM(C129:C131)</f>
        <v>118085607</v>
      </c>
      <c r="D128" s="1138">
        <f t="shared" si="33"/>
        <v>126756871</v>
      </c>
      <c r="E128" s="1509">
        <f t="shared" si="33"/>
        <v>116054284.61</v>
      </c>
      <c r="F128" s="1139">
        <f t="shared" si="33"/>
        <v>95018520</v>
      </c>
      <c r="G128" s="1138">
        <f t="shared" si="33"/>
        <v>115951738</v>
      </c>
      <c r="H128" s="1510">
        <f t="shared" si="33"/>
        <v>115951738</v>
      </c>
      <c r="I128" s="1511">
        <f t="shared" si="33"/>
        <v>23555120</v>
      </c>
      <c r="J128" s="1138">
        <f t="shared" si="33"/>
        <v>127055549</v>
      </c>
      <c r="K128" s="1510">
        <f t="shared" si="33"/>
        <v>268616748.66253299</v>
      </c>
      <c r="L128" s="370"/>
      <c r="Q128" s="245"/>
    </row>
    <row r="129" spans="1:17" ht="11.25" customHeight="1" x14ac:dyDescent="0.25">
      <c r="A129" s="1550" t="str">
        <f t="shared" si="19"/>
        <v>Sewerage</v>
      </c>
      <c r="B129" s="1189"/>
      <c r="C129" s="1614">
        <v>100823183</v>
      </c>
      <c r="D129" s="1614">
        <v>112252452</v>
      </c>
      <c r="E129" s="1614">
        <f>116054284.61</f>
        <v>116054284.61</v>
      </c>
      <c r="F129" s="1616">
        <v>73503725</v>
      </c>
      <c r="G129" s="1614">
        <f>F129+[5]B2B!$I$131</f>
        <v>89740310</v>
      </c>
      <c r="H129" s="1614">
        <f>G129</f>
        <v>89740310</v>
      </c>
      <c r="I129" s="1614">
        <f>22518618+78000000-91568000</f>
        <v>8950618</v>
      </c>
      <c r="J129" s="1617">
        <f>83944602+78000000-40000000-39597000</f>
        <v>82347602</v>
      </c>
      <c r="K129" s="1614">
        <f>118429214.662533+7800000</f>
        <v>126229214.662533</v>
      </c>
      <c r="L129" s="370"/>
      <c r="Q129" s="245"/>
    </row>
    <row r="130" spans="1:17" ht="11.25" customHeight="1" x14ac:dyDescent="0.25">
      <c r="A130" s="1550" t="str">
        <f t="shared" si="19"/>
        <v>Storm Water Management</v>
      </c>
      <c r="B130" s="1189"/>
      <c r="C130" s="1614">
        <v>7737530</v>
      </c>
      <c r="D130" s="1614">
        <v>6817606</v>
      </c>
      <c r="E130" s="1614">
        <v>0</v>
      </c>
      <c r="F130" s="1616">
        <v>15556339</v>
      </c>
      <c r="G130" s="1614">
        <f>F130+2931117</f>
        <v>18487456</v>
      </c>
      <c r="H130" s="1614">
        <f>G130</f>
        <v>18487456</v>
      </c>
      <c r="I130" s="1614">
        <f>126574502-111970000</f>
        <v>14604502</v>
      </c>
      <c r="J130" s="1617">
        <f>134099947-89392000</f>
        <v>44707947</v>
      </c>
      <c r="K130" s="1614">
        <v>142387534</v>
      </c>
      <c r="L130" s="370"/>
      <c r="Q130" s="245"/>
    </row>
    <row r="131" spans="1:17" ht="11.25" customHeight="1" x14ac:dyDescent="0.25">
      <c r="A131" s="1550" t="str">
        <f t="shared" si="19"/>
        <v>Public Toilets</v>
      </c>
      <c r="B131" s="1189"/>
      <c r="C131" s="1614">
        <v>9524894</v>
      </c>
      <c r="D131" s="1614">
        <v>7686813</v>
      </c>
      <c r="E131" s="1614">
        <v>0</v>
      </c>
      <c r="F131" s="1616">
        <v>5958456</v>
      </c>
      <c r="G131" s="1614">
        <f>F131+[5]B2B!$I$133</f>
        <v>7723972</v>
      </c>
      <c r="H131" s="1614">
        <f>G131</f>
        <v>7723972</v>
      </c>
      <c r="I131" s="1614">
        <v>0</v>
      </c>
      <c r="J131" s="1617">
        <v>0</v>
      </c>
      <c r="K131" s="1614">
        <v>0</v>
      </c>
      <c r="L131" s="370"/>
      <c r="Q131" s="245"/>
    </row>
    <row r="132" spans="1:17" ht="11.25" customHeight="1" x14ac:dyDescent="0.25">
      <c r="A132" s="1329" t="str">
        <f t="shared" si="19"/>
        <v>Waste management</v>
      </c>
      <c r="B132" s="1189"/>
      <c r="C132" s="1138">
        <f t="shared" ref="C132:K132" si="34">SUM(C133)</f>
        <v>101760951</v>
      </c>
      <c r="D132" s="1138">
        <f t="shared" si="34"/>
        <v>90863717</v>
      </c>
      <c r="E132" s="1509">
        <f t="shared" si="34"/>
        <v>103616741.44999991</v>
      </c>
      <c r="F132" s="1139">
        <f t="shared" si="34"/>
        <v>68988386</v>
      </c>
      <c r="G132" s="1138">
        <f t="shared" si="34"/>
        <v>77345484</v>
      </c>
      <c r="H132" s="1510">
        <f t="shared" si="34"/>
        <v>77345484</v>
      </c>
      <c r="I132" s="1511">
        <f t="shared" si="34"/>
        <v>101023623</v>
      </c>
      <c r="J132" s="1138">
        <f t="shared" si="34"/>
        <v>104635167</v>
      </c>
      <c r="K132" s="1510">
        <f t="shared" si="34"/>
        <v>110728164</v>
      </c>
      <c r="L132" s="370"/>
      <c r="Q132" s="245"/>
    </row>
    <row r="133" spans="1:17" ht="11.25" customHeight="1" x14ac:dyDescent="0.25">
      <c r="A133" s="1550" t="str">
        <f t="shared" si="19"/>
        <v>Solid Waste</v>
      </c>
      <c r="B133" s="1187"/>
      <c r="C133" s="1614">
        <v>101760951</v>
      </c>
      <c r="D133" s="1614">
        <v>90863717</v>
      </c>
      <c r="E133" s="1614">
        <v>103616741.44999991</v>
      </c>
      <c r="F133" s="1616">
        <v>68988386</v>
      </c>
      <c r="G133" s="1614">
        <f>F133+[5]B2B!$I$135</f>
        <v>77345484</v>
      </c>
      <c r="H133" s="1614">
        <f>G133</f>
        <v>77345484</v>
      </c>
      <c r="I133" s="1614">
        <f>101023623</f>
        <v>101023623</v>
      </c>
      <c r="J133" s="1617">
        <v>104635167</v>
      </c>
      <c r="K133" s="1614">
        <f>110728164</f>
        <v>110728164</v>
      </c>
      <c r="L133" s="370"/>
    </row>
    <row r="134" spans="1:17" ht="11.25" customHeight="1" x14ac:dyDescent="0.25">
      <c r="A134" s="1270" t="str">
        <f t="shared" si="19"/>
        <v>Other</v>
      </c>
      <c r="B134" s="1187"/>
      <c r="C134" s="1337">
        <f t="shared" ref="C134:K134" si="35">SUM(C135:C139)</f>
        <v>39914381</v>
      </c>
      <c r="D134" s="1337">
        <f t="shared" si="35"/>
        <v>53979966</v>
      </c>
      <c r="E134" s="1506">
        <f t="shared" si="35"/>
        <v>45086260.540000007</v>
      </c>
      <c r="F134" s="1341">
        <f t="shared" si="35"/>
        <v>41102480</v>
      </c>
      <c r="G134" s="1337">
        <f t="shared" si="35"/>
        <v>40498018</v>
      </c>
      <c r="H134" s="1507">
        <f t="shared" si="35"/>
        <v>40496544</v>
      </c>
      <c r="I134" s="1508">
        <f t="shared" si="35"/>
        <v>62713048</v>
      </c>
      <c r="J134" s="1337">
        <f t="shared" si="35"/>
        <v>32531157</v>
      </c>
      <c r="K134" s="1507">
        <f t="shared" si="35"/>
        <v>101178127.83489358</v>
      </c>
      <c r="L134" s="370"/>
    </row>
    <row r="135" spans="1:17" ht="11.25" customHeight="1" x14ac:dyDescent="0.25">
      <c r="A135" s="1329" t="str">
        <f t="shared" si="19"/>
        <v>Air Transport</v>
      </c>
      <c r="B135" s="1187"/>
      <c r="C135" s="1614">
        <v>11034157</v>
      </c>
      <c r="D135" s="1614">
        <v>11613117</v>
      </c>
      <c r="E135" s="2630">
        <v>12063078.550000001</v>
      </c>
      <c r="F135" s="1616">
        <v>10311682</v>
      </c>
      <c r="G135" s="1614">
        <f>F135+[5]B2B!$I$137</f>
        <v>12289521</v>
      </c>
      <c r="H135" s="1614">
        <f>G135</f>
        <v>12289521</v>
      </c>
      <c r="I135" s="1614">
        <v>268568</v>
      </c>
      <c r="J135" s="1617">
        <v>11484175</v>
      </c>
      <c r="K135" s="1614">
        <v>9561504.8032686058</v>
      </c>
      <c r="L135" s="370"/>
    </row>
    <row r="136" spans="1:17" ht="11.25" customHeight="1" x14ac:dyDescent="0.25">
      <c r="A136" s="1329" t="str">
        <f t="shared" si="19"/>
        <v>Abattoirs</v>
      </c>
      <c r="B136" s="1187"/>
      <c r="C136" s="1614">
        <v>0</v>
      </c>
      <c r="D136" s="1614">
        <v>0</v>
      </c>
      <c r="E136" s="1614">
        <v>0</v>
      </c>
      <c r="F136" s="1616"/>
      <c r="G136" s="1614">
        <v>0</v>
      </c>
      <c r="H136" s="1614">
        <v>0</v>
      </c>
      <c r="I136" s="1614"/>
      <c r="J136" s="1617"/>
      <c r="K136" s="1614">
        <v>0</v>
      </c>
      <c r="L136" s="370"/>
    </row>
    <row r="137" spans="1:17" ht="11.25" customHeight="1" x14ac:dyDescent="0.25">
      <c r="A137" s="1329" t="str">
        <f t="shared" si="19"/>
        <v>Tourism</v>
      </c>
      <c r="B137" s="1187"/>
      <c r="C137" s="1614">
        <v>0</v>
      </c>
      <c r="D137" s="1614">
        <v>0</v>
      </c>
      <c r="E137" s="1614">
        <v>0</v>
      </c>
      <c r="F137" s="1616"/>
      <c r="G137" s="1614">
        <v>0</v>
      </c>
      <c r="H137" s="1614">
        <v>0</v>
      </c>
      <c r="I137" s="1614"/>
      <c r="J137" s="1617"/>
      <c r="K137" s="1614">
        <v>0</v>
      </c>
      <c r="L137" s="370"/>
    </row>
    <row r="138" spans="1:17" ht="11.25" customHeight="1" x14ac:dyDescent="0.25">
      <c r="A138" s="1329" t="str">
        <f t="shared" si="19"/>
        <v>Forestry</v>
      </c>
      <c r="B138" s="1187"/>
      <c r="C138" s="1614">
        <v>9303547</v>
      </c>
      <c r="D138" s="1614">
        <v>10602209</v>
      </c>
      <c r="E138" s="1614">
        <v>40012.99</v>
      </c>
      <c r="F138" s="1616">
        <v>369901</v>
      </c>
      <c r="G138" s="1614">
        <f>F138+-62212</f>
        <v>307689</v>
      </c>
      <c r="H138" s="1614">
        <f>G138</f>
        <v>307689</v>
      </c>
      <c r="I138" s="1614"/>
      <c r="J138" s="1617">
        <v>420638</v>
      </c>
      <c r="K138" s="1614">
        <v>45908.017751476742</v>
      </c>
      <c r="L138" s="370"/>
    </row>
    <row r="139" spans="1:17" ht="11.25" customHeight="1" x14ac:dyDescent="0.25">
      <c r="A139" s="1329" t="str">
        <f>A70</f>
        <v>Markets</v>
      </c>
      <c r="B139" s="1187"/>
      <c r="C139" s="1614">
        <v>19576677</v>
      </c>
      <c r="D139" s="1614">
        <f>31679640+85000</f>
        <v>31764640</v>
      </c>
      <c r="E139" s="1614">
        <v>32983169.000000004</v>
      </c>
      <c r="F139" s="1616">
        <v>30420897</v>
      </c>
      <c r="G139" s="1614">
        <f>F139+-3456699+934000+2610</f>
        <v>27900808</v>
      </c>
      <c r="H139" s="1614">
        <f>G139-1305-169</f>
        <v>27899334</v>
      </c>
      <c r="I139" s="1614">
        <f>8239396+54205084</f>
        <v>62444480</v>
      </c>
      <c r="J139" s="1617">
        <f>35223357+25000000-39597013</f>
        <v>20626344</v>
      </c>
      <c r="K139" s="1614">
        <f>11940071.0138735+89358000-4864000-4864000+644</f>
        <v>91570715.013873503</v>
      </c>
      <c r="L139" s="370"/>
    </row>
    <row r="140" spans="1:17" ht="11.25" customHeight="1" x14ac:dyDescent="0.25">
      <c r="A140" s="1188" t="str">
        <f>"Total "&amp;A73</f>
        <v>Total Expenditure - Standard</v>
      </c>
      <c r="B140" s="1187">
        <v>3</v>
      </c>
      <c r="C140" s="267">
        <f>C74+C84+C106+C121+C134</f>
        <v>2807100182</v>
      </c>
      <c r="D140" s="267">
        <f>D74+D84+D106+D121+D134</f>
        <v>2807201317</v>
      </c>
      <c r="E140" s="1516">
        <f t="shared" ref="E140:J140" si="36">E74+E84+E106+E121+E134</f>
        <v>2653096169.9399991</v>
      </c>
      <c r="F140" s="270">
        <f t="shared" si="36"/>
        <v>2982646285.8499999</v>
      </c>
      <c r="G140" s="267">
        <f t="shared" si="36"/>
        <v>3129240567.8499999</v>
      </c>
      <c r="H140" s="1517">
        <f t="shared" si="36"/>
        <v>3129239093.8499999</v>
      </c>
      <c r="I140" s="1518">
        <f t="shared" si="36"/>
        <v>3473828461</v>
      </c>
      <c r="J140" s="267">
        <f t="shared" si="36"/>
        <v>3657992355</v>
      </c>
      <c r="K140" s="1517">
        <f>K74+K84+K106+K121+K134</f>
        <v>4003497194.4974265</v>
      </c>
      <c r="L140" s="370"/>
      <c r="Q140" s="280"/>
    </row>
    <row r="141" spans="1:17" x14ac:dyDescent="0.25">
      <c r="A141" s="1190" t="str">
        <f>result</f>
        <v>Surplus/(Deficit) for the year</v>
      </c>
      <c r="B141" s="1191"/>
      <c r="C141" s="283">
        <f t="shared" ref="C141:K141" si="37">C71-C140</f>
        <v>-231263990</v>
      </c>
      <c r="D141" s="283">
        <f t="shared" si="37"/>
        <v>94779316</v>
      </c>
      <c r="E141" s="284">
        <f t="shared" si="37"/>
        <v>234467539.21000051</v>
      </c>
      <c r="F141" s="285">
        <f t="shared" si="37"/>
        <v>5143474.4582667351</v>
      </c>
      <c r="G141" s="283">
        <f t="shared" si="37"/>
        <v>8790221.4582667351</v>
      </c>
      <c r="H141" s="282">
        <f t="shared" si="37"/>
        <v>8791695.4582667351</v>
      </c>
      <c r="I141" s="286">
        <f t="shared" si="37"/>
        <v>66585387.969754696</v>
      </c>
      <c r="J141" s="283">
        <f t="shared" si="37"/>
        <v>64556773.548416615</v>
      </c>
      <c r="K141" s="284">
        <f t="shared" si="37"/>
        <v>50000429.006783962</v>
      </c>
      <c r="L141" s="370"/>
    </row>
    <row r="142" spans="1:17" x14ac:dyDescent="0.25">
      <c r="A142" s="1192" t="str">
        <f>head27a</f>
        <v>References</v>
      </c>
      <c r="B142" s="1193"/>
      <c r="C142" s="1058"/>
      <c r="D142" s="1058"/>
      <c r="E142" s="1058"/>
      <c r="F142" s="1058"/>
      <c r="G142" s="1058"/>
      <c r="H142" s="1058"/>
      <c r="I142" s="1058"/>
      <c r="J142" s="1058"/>
      <c r="K142" s="1058"/>
      <c r="L142" s="370"/>
    </row>
    <row r="143" spans="1:17" ht="11.25" customHeight="1" x14ac:dyDescent="0.25">
      <c r="A143" s="1194" t="s">
        <v>437</v>
      </c>
      <c r="B143" s="1193"/>
      <c r="C143" s="1195"/>
      <c r="D143" s="1195"/>
      <c r="E143" s="1196"/>
      <c r="F143" s="1196"/>
      <c r="G143" s="1196"/>
      <c r="H143" s="1196"/>
      <c r="I143" s="1196"/>
      <c r="J143" s="1196"/>
      <c r="K143" s="1196"/>
    </row>
    <row r="144" spans="1:17" ht="11.25" customHeight="1" x14ac:dyDescent="0.25">
      <c r="A144" s="1197" t="s">
        <v>1799</v>
      </c>
      <c r="B144" s="1193"/>
      <c r="C144" s="1195"/>
      <c r="D144" s="1195"/>
      <c r="E144" s="1196"/>
      <c r="F144" s="1196"/>
      <c r="G144" s="1196"/>
      <c r="H144" s="1196"/>
      <c r="I144" s="1196"/>
      <c r="J144" s="1196"/>
      <c r="K144" s="1196"/>
    </row>
    <row r="145" spans="1:11" ht="11.25" customHeight="1" x14ac:dyDescent="0.25">
      <c r="A145" s="1194" t="s">
        <v>1800</v>
      </c>
      <c r="B145" s="1193"/>
      <c r="C145" s="1195"/>
      <c r="D145" s="1195"/>
      <c r="E145" s="1196"/>
      <c r="F145" s="1196"/>
      <c r="G145" s="1196"/>
      <c r="H145" s="1196"/>
      <c r="I145" s="1196"/>
      <c r="J145" s="1196"/>
      <c r="K145" s="1196"/>
    </row>
    <row r="146" spans="1:11" ht="22.5" customHeight="1" x14ac:dyDescent="0.25">
      <c r="A146" s="2681" t="s">
        <v>140</v>
      </c>
      <c r="B146" s="2681"/>
      <c r="C146" s="2681"/>
      <c r="D146" s="2681"/>
      <c r="E146" s="2681"/>
      <c r="F146" s="2681"/>
      <c r="G146" s="2681"/>
      <c r="H146" s="2681"/>
      <c r="I146" s="2681"/>
      <c r="J146" s="2681"/>
      <c r="K146" s="2681"/>
    </row>
    <row r="147" spans="1:11" ht="11.25" customHeight="1" x14ac:dyDescent="0.25">
      <c r="A147" s="246"/>
      <c r="B147" s="236"/>
      <c r="C147" s="240"/>
      <c r="D147" s="240"/>
      <c r="E147" s="241"/>
      <c r="F147" s="241"/>
      <c r="G147" s="241"/>
      <c r="H147" s="241"/>
      <c r="I147" s="241"/>
      <c r="J147" s="241"/>
      <c r="K147" s="241"/>
    </row>
    <row r="148" spans="1:11" ht="11.25" customHeight="1" x14ac:dyDescent="0.25">
      <c r="A148" s="246"/>
      <c r="B148" s="236"/>
      <c r="C148" s="240"/>
      <c r="D148" s="240"/>
      <c r="E148" s="241"/>
      <c r="F148" s="241"/>
      <c r="G148" s="241"/>
      <c r="H148" s="241"/>
      <c r="I148" s="241"/>
      <c r="J148" s="241"/>
      <c r="K148" s="241"/>
    </row>
    <row r="149" spans="1:11" ht="11.25" customHeight="1" x14ac:dyDescent="0.25">
      <c r="A149" s="288" t="s">
        <v>154</v>
      </c>
      <c r="B149" s="243"/>
      <c r="C149" s="289">
        <f>C71-'A4-FinPerf RE'!C60</f>
        <v>442</v>
      </c>
      <c r="D149" s="289">
        <f>D71-'A4-FinPerf RE'!D60</f>
        <v>127</v>
      </c>
      <c r="E149" s="1030">
        <f>E71-'A4-FinPerf RE'!E60</f>
        <v>-232.85000038146973</v>
      </c>
      <c r="F149" s="289">
        <f>F71-'A4-FinPerf RE'!F60</f>
        <v>-318.91946649551392</v>
      </c>
      <c r="G149" s="289">
        <f>G71-'A4-FinPerf RE'!G60</f>
        <v>-812.69173336029053</v>
      </c>
      <c r="H149" s="289">
        <f>H71-'A4-FinPerf RE'!H60</f>
        <v>-812.69173336029053</v>
      </c>
      <c r="I149" s="289">
        <f>I71-'A4-FinPerf RE'!J60</f>
        <v>-431.03024530410767</v>
      </c>
      <c r="J149" s="289">
        <f>J71-'A4-FinPerf RE'!K60</f>
        <v>-130.45158338546753</v>
      </c>
      <c r="K149" s="289">
        <f>K71-'A4-FinPerf RE'!L60</f>
        <v>-337.10189867019653</v>
      </c>
    </row>
    <row r="150" spans="1:11" ht="11.25" customHeight="1" x14ac:dyDescent="0.25">
      <c r="A150" s="288" t="s">
        <v>875</v>
      </c>
      <c r="B150" s="243"/>
      <c r="C150" s="289">
        <f>C140-'A4-FinPerf RE'!C36</f>
        <v>0</v>
      </c>
      <c r="D150" s="289">
        <f>D140-'A4-FinPerf RE'!D36</f>
        <v>0</v>
      </c>
      <c r="E150" s="1030">
        <f>E140-'A4-FinPerf RE'!E36</f>
        <v>0.3899989128112793</v>
      </c>
      <c r="F150" s="289">
        <f>F140-'A4-FinPerf RE'!F36</f>
        <v>0.15738058090209961</v>
      </c>
      <c r="G150" s="289">
        <f>G140-'A4-FinPerf RE'!G36</f>
        <v>-0.15000009536743164</v>
      </c>
      <c r="H150" s="289">
        <f>H140-'A4-FinPerf RE'!H36</f>
        <v>-0.15000009536743164</v>
      </c>
      <c r="I150" s="289">
        <f>I140-'A4-FinPerf RE'!J36</f>
        <v>0</v>
      </c>
      <c r="J150" s="289">
        <f>J140-'A4-FinPerf RE'!K36</f>
        <v>0</v>
      </c>
      <c r="K150" s="289">
        <f>K140-'A4-FinPerf RE'!L36</f>
        <v>0.49742650985717773</v>
      </c>
    </row>
    <row r="151" spans="1:11" ht="11.25" customHeight="1" x14ac:dyDescent="0.25"/>
    <row r="152" spans="1:11" ht="11.25" customHeight="1" x14ac:dyDescent="0.25"/>
    <row r="153" spans="1:11" ht="11.25" customHeight="1" x14ac:dyDescent="0.25"/>
    <row r="154" spans="1:11" ht="11.25" customHeight="1" x14ac:dyDescent="0.25">
      <c r="E154" s="362"/>
    </row>
    <row r="155" spans="1:11" ht="11.25" customHeight="1" x14ac:dyDescent="0.25"/>
    <row r="156" spans="1:11" ht="11.25" customHeight="1" x14ac:dyDescent="0.25"/>
    <row r="157" spans="1:11" ht="11.25" customHeight="1" x14ac:dyDescent="0.25"/>
    <row r="158" spans="1:11" ht="11.25" customHeight="1" x14ac:dyDescent="0.25"/>
    <row r="159" spans="1:11" ht="11.25" customHeight="1" x14ac:dyDescent="0.25"/>
    <row r="160" spans="1:11"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row r="172" ht="11.25" customHeight="1" x14ac:dyDescent="0.25"/>
    <row r="173" ht="11.25" customHeight="1" x14ac:dyDescent="0.25"/>
    <row r="174" ht="11.25" customHeight="1" x14ac:dyDescent="0.25"/>
    <row r="175" ht="11.25" customHeight="1" x14ac:dyDescent="0.25"/>
    <row r="176"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sheetData>
  <mergeCells count="3">
    <mergeCell ref="F2:H2"/>
    <mergeCell ref="I2:K2"/>
    <mergeCell ref="A146:K146"/>
  </mergeCells>
  <phoneticPr fontId="2" type="noConversion"/>
  <dataValidations count="1">
    <dataValidation type="decimal" allowBlank="1" showInputMessage="1" showErrorMessage="1" sqref="I54:K54 I57:K57 I60:K60 I64:K64 I123:K123">
      <formula1>-999999999999999</formula1>
      <formula2>99999999999999</formula2>
    </dataValidation>
  </dataValidations>
  <pageMargins left="0.75" right="0.75" top="1" bottom="1" header="0.5" footer="0.5"/>
  <pageSetup scale="77" orientation="portrait" r:id="rId1"/>
  <headerFooter alignWithMargins="0"/>
  <rowBreaks count="1" manualBreakCount="1">
    <brk id="72"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40F5E3DC-0238-4037-AC76-5DFAD1180B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F7D894F4-529C-4A92-BC40-0E6F5DD308B4}">
  <ds:schemaRefs>
    <ds:schemaRef ds:uri="http://schemas.microsoft.com/sharepoint/v3/contenttype/forms"/>
  </ds:schemaRefs>
</ds:datastoreItem>
</file>

<file path=customXml/itemProps3.xml><?xml version="1.0" encoding="utf-8"?>
<ds:datastoreItem xmlns:ds="http://schemas.openxmlformats.org/officeDocument/2006/customXml" ds:itemID="{D324BA9D-EED4-4A86-9091-E5A3956E9BBA}">
  <ds:schemaRefs>
    <ds:schemaRef ds:uri="http://schemas.microsoft.com/sharepoint/v3"/>
    <ds:schemaRef ds:uri="http://www.w3.org/XML/1998/namespace"/>
    <ds:schemaRef ds:uri="http://schemas.openxmlformats.org/package/2006/metadata/core-properties"/>
    <ds:schemaRef ds:uri="http://purl.org/dc/dcmitype/"/>
    <ds:schemaRef ds:uri="http://purl.org/dc/elements/1.1/"/>
    <ds:schemaRef ds:uri="http://schemas.microsoft.com/office/2006/metadata/properties"/>
    <ds:schemaRef ds:uri="http://purl.org/dc/terms/"/>
    <ds:schemaRef ds:uri="http://schemas.microsoft.com/office/2006/documentManagement/typ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250</vt:i4>
      </vt:variant>
    </vt:vector>
  </HeadingPairs>
  <TitlesOfParts>
    <vt:vector size="312"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SA35</vt:lpstr>
      <vt:lpstr>SA36</vt:lpstr>
      <vt:lpstr>SA37</vt:lpstr>
      <vt:lpstr>NERF</vt:lpstr>
      <vt:lpstr>MSCOA</vt:lpstr>
      <vt:lpstr>Compliance assessment</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Asset_sub_class</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List1</vt:lpstr>
      <vt:lpstr>List2</vt:lpstr>
      <vt:lpstr>List3</vt:lpstr>
      <vt:lpstr>List4</vt:lpstr>
      <vt:lpstr>List5</vt:lpstr>
      <vt:lpstr>List6</vt:lpstr>
      <vt:lpstr>List7</vt:lpstr>
      <vt:lpstr>List8</vt:lpstr>
      <vt:lpstr>MTREF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A5A!Print_Area</vt:lpstr>
      <vt:lpstr>'A5-Capex'!Print_Area</vt:lpstr>
      <vt:lpstr>'A6-FinPos'!Print_Area</vt:lpstr>
      <vt:lpstr>'A7-CFlow'!Print_Area</vt:lpstr>
      <vt:lpstr>'A8-ResRecon'!Print_Area</vt:lpstr>
      <vt:lpstr>'A9-Asset'!Print_Area</vt:lpstr>
      <vt:lpstr>Contacts!Print_Area</vt:lpstr>
      <vt:lpstr>Instructions!Print_Area</vt:lpstr>
      <vt:lpstr>NERF!Print_Area</vt:lpstr>
      <vt:lpstr>SA1!Print_Area</vt:lpstr>
      <vt:lpstr>SA10!Print_Area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SA35!Print_Area</vt:lpstr>
      <vt:lpstr>SA36!Print_Area</vt:lpstr>
      <vt:lpstr>SA37!Print_Area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Scale</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TableA35</vt:lpstr>
      <vt:lpstr>TableA36</vt:lpstr>
      <vt:lpstr>TableA37</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Rajn</cp:lastModifiedBy>
  <cp:lastPrinted>2013-04-22T12:40:26Z</cp:lastPrinted>
  <dcterms:created xsi:type="dcterms:W3CDTF">2004-04-07T16:19:08Z</dcterms:created>
  <dcterms:modified xsi:type="dcterms:W3CDTF">2013-04-24T09:54:56Z</dcterms:modified>
</cp:coreProperties>
</file>